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2240" windowHeight="7995" activeTab="3"/>
  </bookViews>
  <sheets>
    <sheet name="Pesos SAATY" sheetId="2" r:id="rId1"/>
    <sheet name="AHP" sheetId="3" r:id="rId2"/>
    <sheet name="Promethee" sheetId="4" r:id="rId3"/>
    <sheet name="TOPSIS" sheetId="5" r:id="rId4"/>
    <sheet name="GLOBAL" sheetId="6" r:id="rId5"/>
  </sheets>
  <calcPr calcId="125725"/>
</workbook>
</file>

<file path=xl/calcChain.xml><?xml version="1.0" encoding="utf-8"?>
<calcChain xmlns="http://schemas.openxmlformats.org/spreadsheetml/2006/main">
  <c r="B36" i="3"/>
  <c r="B35"/>
  <c r="B34"/>
  <c r="B33"/>
  <c r="B32"/>
  <c r="B31"/>
  <c r="H18"/>
  <c r="G18"/>
  <c r="F18"/>
  <c r="E18"/>
  <c r="D18"/>
  <c r="C18"/>
  <c r="B18"/>
  <c r="C36"/>
  <c r="H17"/>
  <c r="G17"/>
  <c r="F17"/>
  <c r="E17"/>
  <c r="D17"/>
  <c r="C17"/>
  <c r="B17"/>
  <c r="C35"/>
  <c r="H16"/>
  <c r="G16"/>
  <c r="F16"/>
  <c r="E16"/>
  <c r="D16"/>
  <c r="C16"/>
  <c r="B16"/>
  <c r="C34"/>
  <c r="H15"/>
  <c r="G15"/>
  <c r="F15"/>
  <c r="E15"/>
  <c r="D15"/>
  <c r="C15"/>
  <c r="B15"/>
  <c r="C33"/>
  <c r="H14"/>
  <c r="G14"/>
  <c r="F14"/>
  <c r="E14"/>
  <c r="D14"/>
  <c r="C14"/>
  <c r="B14"/>
  <c r="C32"/>
  <c r="H13"/>
  <c r="G13"/>
  <c r="F13"/>
  <c r="E13"/>
  <c r="D13"/>
  <c r="C13"/>
  <c r="B13"/>
  <c r="C31"/>
  <c r="H12" i="5"/>
  <c r="H13"/>
  <c r="H14"/>
  <c r="H15"/>
  <c r="H16"/>
  <c r="H11"/>
  <c r="G12"/>
  <c r="G13"/>
  <c r="G14"/>
  <c r="G15"/>
  <c r="G16"/>
  <c r="G11"/>
  <c r="F12"/>
  <c r="F13"/>
  <c r="F14"/>
  <c r="F15"/>
  <c r="F16"/>
  <c r="F11"/>
  <c r="E12"/>
  <c r="E13"/>
  <c r="E14"/>
  <c r="E15"/>
  <c r="E16"/>
  <c r="E11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I81" i="4"/>
  <c r="H81"/>
  <c r="G81"/>
  <c r="F81"/>
  <c r="E81"/>
  <c r="J80"/>
  <c r="H80"/>
  <c r="G80"/>
  <c r="F80"/>
  <c r="E80"/>
  <c r="J79"/>
  <c r="I79"/>
  <c r="G79"/>
  <c r="F79"/>
  <c r="E79"/>
  <c r="J78"/>
  <c r="I78"/>
  <c r="H78"/>
  <c r="F78"/>
  <c r="E78"/>
  <c r="J77"/>
  <c r="I77"/>
  <c r="H77"/>
  <c r="G77"/>
  <c r="E77"/>
  <c r="J76"/>
  <c r="I76"/>
  <c r="H76"/>
  <c r="G76"/>
  <c r="F76"/>
  <c r="I71"/>
  <c r="H71"/>
  <c r="G71"/>
  <c r="F71"/>
  <c r="E71"/>
  <c r="J70"/>
  <c r="H70"/>
  <c r="G70"/>
  <c r="F70"/>
  <c r="E70"/>
  <c r="J69"/>
  <c r="I69"/>
  <c r="G69"/>
  <c r="F69"/>
  <c r="E69"/>
  <c r="J68"/>
  <c r="I68"/>
  <c r="H68"/>
  <c r="Q18" s="1"/>
  <c r="F68"/>
  <c r="E68"/>
  <c r="J67"/>
  <c r="I67"/>
  <c r="H67"/>
  <c r="G67"/>
  <c r="E67"/>
  <c r="J66"/>
  <c r="I66"/>
  <c r="H66"/>
  <c r="G66"/>
  <c r="F66"/>
  <c r="I61"/>
  <c r="H61"/>
  <c r="G61"/>
  <c r="F61"/>
  <c r="E61"/>
  <c r="J60"/>
  <c r="H60"/>
  <c r="G60"/>
  <c r="F60"/>
  <c r="E60"/>
  <c r="J59"/>
  <c r="S19" s="1"/>
  <c r="I59"/>
  <c r="G59"/>
  <c r="F59"/>
  <c r="E59"/>
  <c r="J58"/>
  <c r="I58"/>
  <c r="H58"/>
  <c r="F58"/>
  <c r="E58"/>
  <c r="J57"/>
  <c r="I57"/>
  <c r="H57"/>
  <c r="G57"/>
  <c r="E57"/>
  <c r="J56"/>
  <c r="I56"/>
  <c r="H56"/>
  <c r="G56"/>
  <c r="F56"/>
  <c r="I51"/>
  <c r="H51"/>
  <c r="G51"/>
  <c r="F51"/>
  <c r="E51"/>
  <c r="J50"/>
  <c r="H50"/>
  <c r="G50"/>
  <c r="F50"/>
  <c r="E50"/>
  <c r="J49"/>
  <c r="I49"/>
  <c r="G49"/>
  <c r="F49"/>
  <c r="E49"/>
  <c r="J48"/>
  <c r="I48"/>
  <c r="R18" s="1"/>
  <c r="H48"/>
  <c r="F48"/>
  <c r="E48"/>
  <c r="J47"/>
  <c r="S17" s="1"/>
  <c r="I47"/>
  <c r="H47"/>
  <c r="G47"/>
  <c r="E47"/>
  <c r="J46"/>
  <c r="I46"/>
  <c r="H46"/>
  <c r="G46"/>
  <c r="F46"/>
  <c r="I41"/>
  <c r="H41"/>
  <c r="Q21" s="1"/>
  <c r="G41"/>
  <c r="F41"/>
  <c r="E41"/>
  <c r="J40"/>
  <c r="H40"/>
  <c r="G40"/>
  <c r="F40"/>
  <c r="E40"/>
  <c r="J39"/>
  <c r="I39"/>
  <c r="G39"/>
  <c r="F39"/>
  <c r="E39"/>
  <c r="J38"/>
  <c r="I38"/>
  <c r="H38"/>
  <c r="F38"/>
  <c r="E38"/>
  <c r="J37"/>
  <c r="I37"/>
  <c r="H37"/>
  <c r="G37"/>
  <c r="E37"/>
  <c r="J36"/>
  <c r="I36"/>
  <c r="H36"/>
  <c r="G36"/>
  <c r="F36"/>
  <c r="I31"/>
  <c r="H31"/>
  <c r="G31"/>
  <c r="F31"/>
  <c r="E31"/>
  <c r="J30"/>
  <c r="H30"/>
  <c r="G30"/>
  <c r="F30"/>
  <c r="E30"/>
  <c r="J29"/>
  <c r="I29"/>
  <c r="G29"/>
  <c r="F29"/>
  <c r="E29"/>
  <c r="J28"/>
  <c r="I28"/>
  <c r="H28"/>
  <c r="F28"/>
  <c r="E28"/>
  <c r="J27"/>
  <c r="I27"/>
  <c r="H27"/>
  <c r="G27"/>
  <c r="E27"/>
  <c r="J26"/>
  <c r="I26"/>
  <c r="H26"/>
  <c r="G26"/>
  <c r="F26"/>
  <c r="I21"/>
  <c r="R21" s="1"/>
  <c r="H21"/>
  <c r="G21"/>
  <c r="P21"/>
  <c r="F21"/>
  <c r="E21"/>
  <c r="S20"/>
  <c r="N20"/>
  <c r="J20"/>
  <c r="H20"/>
  <c r="Q20"/>
  <c r="G20"/>
  <c r="P20" s="1"/>
  <c r="F20"/>
  <c r="E20"/>
  <c r="R19"/>
  <c r="J19"/>
  <c r="I19"/>
  <c r="G19"/>
  <c r="P19"/>
  <c r="F19"/>
  <c r="O19" s="1"/>
  <c r="E19"/>
  <c r="J18"/>
  <c r="S18" s="1"/>
  <c r="I18"/>
  <c r="H18"/>
  <c r="F18"/>
  <c r="O18"/>
  <c r="E18"/>
  <c r="J17"/>
  <c r="I17"/>
  <c r="R17" s="1"/>
  <c r="H17"/>
  <c r="G17"/>
  <c r="E17"/>
  <c r="Q16"/>
  <c r="O16"/>
  <c r="J16"/>
  <c r="I16"/>
  <c r="R16"/>
  <c r="H16"/>
  <c r="G16"/>
  <c r="F16"/>
  <c r="N19"/>
  <c r="T19" s="1"/>
  <c r="Q25" s="1"/>
  <c r="H8" i="2"/>
  <c r="P8" s="1"/>
  <c r="AS8" s="1"/>
  <c r="H7"/>
  <c r="H6"/>
  <c r="P6"/>
  <c r="X6" s="1"/>
  <c r="C3"/>
  <c r="K3" s="1"/>
  <c r="K4"/>
  <c r="L4"/>
  <c r="M4"/>
  <c r="AP4" s="1"/>
  <c r="N4"/>
  <c r="O4"/>
  <c r="P4"/>
  <c r="K5"/>
  <c r="L5"/>
  <c r="M5"/>
  <c r="N5"/>
  <c r="V5" s="1"/>
  <c r="O5"/>
  <c r="AR5" s="1"/>
  <c r="P5"/>
  <c r="M6"/>
  <c r="N6"/>
  <c r="O6"/>
  <c r="W6" s="1"/>
  <c r="J7"/>
  <c r="AM7" s="1"/>
  <c r="N7"/>
  <c r="O7"/>
  <c r="P7"/>
  <c r="J8"/>
  <c r="K8"/>
  <c r="AN8" s="1"/>
  <c r="N8"/>
  <c r="O8"/>
  <c r="AR8" s="1"/>
  <c r="M9"/>
  <c r="N9"/>
  <c r="O9"/>
  <c r="AR9" s="1"/>
  <c r="P9"/>
  <c r="AS9" s="1"/>
  <c r="M3"/>
  <c r="N3"/>
  <c r="V3" s="1"/>
  <c r="O3"/>
  <c r="P3"/>
  <c r="J3"/>
  <c r="D9"/>
  <c r="L9" s="1"/>
  <c r="C9"/>
  <c r="K9" s="1"/>
  <c r="B9"/>
  <c r="J9" s="1"/>
  <c r="F8"/>
  <c r="E8"/>
  <c r="M8" s="1"/>
  <c r="D8"/>
  <c r="L8" s="1"/>
  <c r="T8" s="1"/>
  <c r="C8"/>
  <c r="B8"/>
  <c r="E7"/>
  <c r="M7" s="1"/>
  <c r="D7"/>
  <c r="L7" s="1"/>
  <c r="T7" s="1"/>
  <c r="C7"/>
  <c r="K7" s="1"/>
  <c r="B7"/>
  <c r="D6"/>
  <c r="L6" s="1"/>
  <c r="C6"/>
  <c r="K6" s="1"/>
  <c r="B6"/>
  <c r="J6" s="1"/>
  <c r="C5"/>
  <c r="D3"/>
  <c r="L3" s="1"/>
  <c r="S4"/>
  <c r="T4"/>
  <c r="U4"/>
  <c r="W4"/>
  <c r="X4"/>
  <c r="T5"/>
  <c r="U5"/>
  <c r="W5"/>
  <c r="X5"/>
  <c r="U6"/>
  <c r="V6"/>
  <c r="V7"/>
  <c r="W7"/>
  <c r="X7"/>
  <c r="U8"/>
  <c r="X8"/>
  <c r="U9"/>
  <c r="AQ9"/>
  <c r="W9"/>
  <c r="X9"/>
  <c r="AP3"/>
  <c r="AQ3"/>
  <c r="W3"/>
  <c r="X3"/>
  <c r="R3"/>
  <c r="AN4"/>
  <c r="AO4"/>
  <c r="AR4"/>
  <c r="AS4"/>
  <c r="AO5"/>
  <c r="AP5"/>
  <c r="AS5"/>
  <c r="AP6"/>
  <c r="AQ6"/>
  <c r="AR6"/>
  <c r="AQ7"/>
  <c r="AR7"/>
  <c r="AS7"/>
  <c r="AP8"/>
  <c r="AP9"/>
  <c r="AM3"/>
  <c r="U3"/>
  <c r="V9"/>
  <c r="S8"/>
  <c r="AS3"/>
  <c r="AR3"/>
  <c r="AN5"/>
  <c r="S5"/>
  <c r="AO6" l="1"/>
  <c r="T6"/>
  <c r="AP7"/>
  <c r="U7"/>
  <c r="AO9"/>
  <c r="T9"/>
  <c r="S6"/>
  <c r="AN6"/>
  <c r="S9"/>
  <c r="AN9"/>
  <c r="AO3"/>
  <c r="T3"/>
  <c r="R8"/>
  <c r="AM8"/>
  <c r="AQ4"/>
  <c r="V4"/>
  <c r="V8"/>
  <c r="AQ8"/>
  <c r="B5"/>
  <c r="J5" s="1"/>
  <c r="AO8"/>
  <c r="AO7"/>
  <c r="R7"/>
  <c r="T16" i="4"/>
  <c r="N25" s="1"/>
  <c r="N17"/>
  <c r="N21"/>
  <c r="P16"/>
  <c r="Q17"/>
  <c r="Q22" s="1"/>
  <c r="Q26" s="1"/>
  <c r="Q27" s="1"/>
  <c r="AN3" i="2"/>
  <c r="S3"/>
  <c r="AM6"/>
  <c r="R6"/>
  <c r="AN7"/>
  <c r="S7"/>
  <c r="R9"/>
  <c r="AM9"/>
  <c r="R22" i="4"/>
  <c r="R26" s="1"/>
  <c r="N18"/>
  <c r="T18" s="1"/>
  <c r="P25" s="1"/>
  <c r="B4" i="2"/>
  <c r="J4" s="1"/>
  <c r="W8"/>
  <c r="AS6"/>
  <c r="AQ5"/>
  <c r="S16" i="4"/>
  <c r="S22" s="1"/>
  <c r="S26" s="1"/>
  <c r="P17"/>
  <c r="O20"/>
  <c r="O22" s="1"/>
  <c r="O26" s="1"/>
  <c r="O21"/>
  <c r="N27" l="1"/>
  <c r="T20"/>
  <c r="R25" s="1"/>
  <c r="R27" s="1"/>
  <c r="P22"/>
  <c r="P26" s="1"/>
  <c r="N22"/>
  <c r="N26" s="1"/>
  <c r="T17"/>
  <c r="O25" s="1"/>
  <c r="O27" s="1"/>
  <c r="AM4" i="2"/>
  <c r="R4"/>
  <c r="Z3" s="1" a="1"/>
  <c r="R5"/>
  <c r="AM5"/>
  <c r="P27" i="4"/>
  <c r="T21"/>
  <c r="S25" s="1"/>
  <c r="S27" s="1"/>
  <c r="AB9" i="2" l="1"/>
  <c r="AA9"/>
  <c r="AF5"/>
  <c r="AC5"/>
  <c r="AF7"/>
  <c r="AD7"/>
  <c r="AA7"/>
  <c r="AA6"/>
  <c r="AD3"/>
  <c r="AC3"/>
  <c r="AA8"/>
  <c r="AD9"/>
  <c r="Z7"/>
  <c r="AF3"/>
  <c r="AB6"/>
  <c r="AF8"/>
  <c r="AF9"/>
  <c r="AD8"/>
  <c r="AD6"/>
  <c r="AF4"/>
  <c r="AE6"/>
  <c r="AB4"/>
  <c r="AD5"/>
  <c r="AE4"/>
  <c r="Z9"/>
  <c r="AC4"/>
  <c r="AB7"/>
  <c r="AC9"/>
  <c r="AE9"/>
  <c r="AC7"/>
  <c r="AE5"/>
  <c r="Z8"/>
  <c r="AE3"/>
  <c r="AA4"/>
  <c r="AA5"/>
  <c r="AB3"/>
  <c r="AB5"/>
  <c r="AE7"/>
  <c r="Z6"/>
  <c r="AD4"/>
  <c r="AA3"/>
  <c r="AC8"/>
  <c r="AB8"/>
  <c r="AC6"/>
  <c r="AF6"/>
  <c r="Z3"/>
  <c r="Z4"/>
  <c r="AE8"/>
  <c r="Z5"/>
  <c r="W16" l="1"/>
  <c r="O16"/>
  <c r="T13"/>
  <c r="L13"/>
  <c r="N16"/>
  <c r="V16"/>
  <c r="AG4"/>
  <c r="J13"/>
  <c r="R13"/>
  <c r="N14"/>
  <c r="V14"/>
  <c r="AG5"/>
  <c r="J14"/>
  <c r="R14"/>
  <c r="P15"/>
  <c r="X15"/>
  <c r="K12"/>
  <c r="S12"/>
  <c r="T14"/>
  <c r="L14"/>
  <c r="W12"/>
  <c r="O12"/>
  <c r="O18"/>
  <c r="W18"/>
  <c r="AG9"/>
  <c r="J18"/>
  <c r="R18"/>
  <c r="O15"/>
  <c r="W15"/>
  <c r="X18"/>
  <c r="P18"/>
  <c r="J16"/>
  <c r="AG7"/>
  <c r="R16"/>
  <c r="N12"/>
  <c r="V12"/>
  <c r="P16"/>
  <c r="X16"/>
  <c r="L18"/>
  <c r="T18"/>
  <c r="AG3"/>
  <c r="R12"/>
  <c r="J12"/>
  <c r="U17"/>
  <c r="M17"/>
  <c r="K13"/>
  <c r="S13"/>
  <c r="U16"/>
  <c r="M16"/>
  <c r="U13"/>
  <c r="M13"/>
  <c r="V17"/>
  <c r="N17"/>
  <c r="P12"/>
  <c r="X12"/>
  <c r="M12"/>
  <c r="U12"/>
  <c r="K18"/>
  <c r="S18"/>
  <c r="T17"/>
  <c r="L17"/>
  <c r="R15"/>
  <c r="J15"/>
  <c r="AG6"/>
  <c r="S14"/>
  <c r="K14"/>
  <c r="O14"/>
  <c r="W14"/>
  <c r="L16"/>
  <c r="T16"/>
  <c r="N15"/>
  <c r="V15"/>
  <c r="L15"/>
  <c r="T15"/>
  <c r="K17"/>
  <c r="S17"/>
  <c r="S16"/>
  <c r="K16"/>
  <c r="X14"/>
  <c r="P14"/>
  <c r="O17"/>
  <c r="W17"/>
  <c r="U15"/>
  <c r="M15"/>
  <c r="V13"/>
  <c r="N13"/>
  <c r="T12"/>
  <c r="L12"/>
  <c r="J17"/>
  <c r="R17"/>
  <c r="AG8"/>
  <c r="M18"/>
  <c r="U18"/>
  <c r="W13"/>
  <c r="O13"/>
  <c r="X13"/>
  <c r="P13"/>
  <c r="P17"/>
  <c r="X17"/>
  <c r="V18"/>
  <c r="N18"/>
  <c r="S15"/>
  <c r="K15"/>
  <c r="U14"/>
  <c r="M14"/>
  <c r="AG10" l="1"/>
  <c r="AH4" s="1"/>
  <c r="AH3"/>
  <c r="Z12" a="1"/>
  <c r="AH7"/>
  <c r="AH9"/>
  <c r="AH8"/>
  <c r="AH5"/>
  <c r="AF18" l="1"/>
  <c r="AE17"/>
  <c r="AA17"/>
  <c r="AC15"/>
  <c r="AF12"/>
  <c r="AD15"/>
  <c r="AF17"/>
  <c r="AB18"/>
  <c r="AF13"/>
  <c r="AB17"/>
  <c r="Z18"/>
  <c r="AC17"/>
  <c r="AD18"/>
  <c r="AE14"/>
  <c r="Z13"/>
  <c r="AE15"/>
  <c r="Z14"/>
  <c r="AA15"/>
  <c r="AE13"/>
  <c r="AD16"/>
  <c r="Z12"/>
  <c r="AF16"/>
  <c r="AF15"/>
  <c r="AD14"/>
  <c r="AC16"/>
  <c r="AC18"/>
  <c r="Z17"/>
  <c r="AD13"/>
  <c r="AA12"/>
  <c r="AB15"/>
  <c r="AD17"/>
  <c r="AD12"/>
  <c r="AC14"/>
  <c r="AE12"/>
  <c r="AC12"/>
  <c r="AE16"/>
  <c r="AC13"/>
  <c r="Z16"/>
  <c r="Z15"/>
  <c r="AF14"/>
  <c r="AB14"/>
  <c r="AE18"/>
  <c r="AA13"/>
  <c r="AA16"/>
  <c r="AB12"/>
  <c r="AB13"/>
  <c r="AA18"/>
  <c r="AA14"/>
  <c r="AB16"/>
  <c r="AH6"/>
  <c r="T25" l="1"/>
  <c r="L25"/>
  <c r="L21"/>
  <c r="T21"/>
  <c r="U22"/>
  <c r="M22"/>
  <c r="M23"/>
  <c r="U23"/>
  <c r="K21"/>
  <c r="S21"/>
  <c r="U25"/>
  <c r="M25"/>
  <c r="R21"/>
  <c r="J21"/>
  <c r="AG12"/>
  <c r="J23"/>
  <c r="R23"/>
  <c r="AG14"/>
  <c r="X22"/>
  <c r="P22"/>
  <c r="P21"/>
  <c r="X21"/>
  <c r="P27"/>
  <c r="X27"/>
  <c r="T22"/>
  <c r="L22"/>
  <c r="R25"/>
  <c r="AG16"/>
  <c r="J25"/>
  <c r="T24"/>
  <c r="L24"/>
  <c r="K24"/>
  <c r="S24"/>
  <c r="T26"/>
  <c r="L26"/>
  <c r="W26"/>
  <c r="O26"/>
  <c r="K27"/>
  <c r="S27"/>
  <c r="K22"/>
  <c r="S22"/>
  <c r="R24"/>
  <c r="AG15"/>
  <c r="J24"/>
  <c r="U21"/>
  <c r="M21"/>
  <c r="N26"/>
  <c r="V26"/>
  <c r="R26"/>
  <c r="J26"/>
  <c r="AG17"/>
  <c r="P24"/>
  <c r="X24"/>
  <c r="W22"/>
  <c r="O22"/>
  <c r="AG13"/>
  <c r="R22"/>
  <c r="J22"/>
  <c r="J27"/>
  <c r="R27"/>
  <c r="AG18"/>
  <c r="X26"/>
  <c r="P26"/>
  <c r="S26"/>
  <c r="K26"/>
  <c r="T23"/>
  <c r="L23"/>
  <c r="V27"/>
  <c r="N27"/>
  <c r="O27"/>
  <c r="W27"/>
  <c r="W21"/>
  <c r="O21"/>
  <c r="U27"/>
  <c r="M27"/>
  <c r="P25"/>
  <c r="X25"/>
  <c r="O23"/>
  <c r="W23"/>
  <c r="N24"/>
  <c r="V24"/>
  <c r="K23"/>
  <c r="S23"/>
  <c r="S25"/>
  <c r="K25"/>
  <c r="P23"/>
  <c r="X23"/>
  <c r="W25"/>
  <c r="O25"/>
  <c r="N21"/>
  <c r="V21"/>
  <c r="N22"/>
  <c r="V22"/>
  <c r="V23"/>
  <c r="N23"/>
  <c r="V25"/>
  <c r="N25"/>
  <c r="O24"/>
  <c r="W24"/>
  <c r="M26"/>
  <c r="U26"/>
  <c r="L27"/>
  <c r="T27"/>
  <c r="U24"/>
  <c r="M24"/>
  <c r="AH12" l="1"/>
  <c r="AG19"/>
  <c r="AH17" s="1"/>
  <c r="Z21" a="1"/>
  <c r="AH15"/>
  <c r="AH18"/>
  <c r="AH16"/>
  <c r="AD21" l="1"/>
  <c r="AE25"/>
  <c r="AD23"/>
  <c r="Z27"/>
  <c r="AB22"/>
  <c r="AB24"/>
  <c r="AF25"/>
  <c r="AC23"/>
  <c r="AF21"/>
  <c r="Z22"/>
  <c r="AD25"/>
  <c r="AC21"/>
  <c r="AA22"/>
  <c r="Z25"/>
  <c r="AD22"/>
  <c r="AA26"/>
  <c r="AF24"/>
  <c r="AF23"/>
  <c r="AE23"/>
  <c r="AC26"/>
  <c r="AB27"/>
  <c r="AA23"/>
  <c r="AF22"/>
  <c r="AB26"/>
  <c r="AB25"/>
  <c r="AA25"/>
  <c r="AC22"/>
  <c r="AA27"/>
  <c r="AE22"/>
  <c r="Z21"/>
  <c r="AF26"/>
  <c r="AE21"/>
  <c r="AE27"/>
  <c r="AE24"/>
  <c r="AD26"/>
  <c r="AF27"/>
  <c r="Z24"/>
  <c r="AB21"/>
  <c r="AA24"/>
  <c r="AD24"/>
  <c r="Z26"/>
  <c r="Z23"/>
  <c r="AC24"/>
  <c r="AC27"/>
  <c r="AD27"/>
  <c r="AA21"/>
  <c r="AB23"/>
  <c r="AC25"/>
  <c r="AE26"/>
  <c r="AH14"/>
  <c r="AH13"/>
  <c r="AG26" l="1"/>
  <c r="R35"/>
  <c r="J35"/>
  <c r="O31"/>
  <c r="W31"/>
  <c r="X30"/>
  <c r="P30"/>
  <c r="AG23"/>
  <c r="R32"/>
  <c r="J32"/>
  <c r="L30"/>
  <c r="T30"/>
  <c r="J30"/>
  <c r="R30"/>
  <c r="AG21"/>
  <c r="S34"/>
  <c r="K34"/>
  <c r="S32"/>
  <c r="K32"/>
  <c r="P32"/>
  <c r="X32"/>
  <c r="J34"/>
  <c r="R34"/>
  <c r="AG25"/>
  <c r="J31"/>
  <c r="R31"/>
  <c r="AG22"/>
  <c r="W34"/>
  <c r="O34"/>
  <c r="L32"/>
  <c r="T32"/>
  <c r="M33"/>
  <c r="U33"/>
  <c r="V35"/>
  <c r="N35"/>
  <c r="U31"/>
  <c r="M31"/>
  <c r="P31"/>
  <c r="X31"/>
  <c r="W32"/>
  <c r="O32"/>
  <c r="N34"/>
  <c r="V34"/>
  <c r="X34"/>
  <c r="P34"/>
  <c r="N32"/>
  <c r="V32"/>
  <c r="W35"/>
  <c r="O35"/>
  <c r="N36"/>
  <c r="V36"/>
  <c r="AG24"/>
  <c r="R33"/>
  <c r="J33"/>
  <c r="W36"/>
  <c r="O36"/>
  <c r="L34"/>
  <c r="T34"/>
  <c r="L36"/>
  <c r="T36"/>
  <c r="X33"/>
  <c r="P33"/>
  <c r="S31"/>
  <c r="K31"/>
  <c r="L31"/>
  <c r="T31"/>
  <c r="V30"/>
  <c r="N30"/>
  <c r="S30"/>
  <c r="K30"/>
  <c r="O33"/>
  <c r="W33"/>
  <c r="T33"/>
  <c r="L33"/>
  <c r="K33"/>
  <c r="S33"/>
  <c r="P35"/>
  <c r="X35"/>
  <c r="V31"/>
  <c r="N31"/>
  <c r="M34"/>
  <c r="U34"/>
  <c r="U36"/>
  <c r="M36"/>
  <c r="N33"/>
  <c r="V33"/>
  <c r="X36"/>
  <c r="P36"/>
  <c r="O30"/>
  <c r="W30"/>
  <c r="S36"/>
  <c r="K36"/>
  <c r="L35"/>
  <c r="T35"/>
  <c r="U35"/>
  <c r="M35"/>
  <c r="K35"/>
  <c r="S35"/>
  <c r="M30"/>
  <c r="U30"/>
  <c r="U32"/>
  <c r="M32"/>
  <c r="J36"/>
  <c r="AG27"/>
  <c r="R36"/>
  <c r="AH21" l="1"/>
  <c r="AG28"/>
  <c r="AH22" s="1"/>
  <c r="Z30" a="1"/>
  <c r="AH26"/>
  <c r="AH27"/>
  <c r="AH25"/>
  <c r="AH23"/>
  <c r="AH24" l="1"/>
  <c r="AC34"/>
  <c r="AC31"/>
  <c r="AA31"/>
  <c r="AE30"/>
  <c r="AB33"/>
  <c r="AE31"/>
  <c r="AE32"/>
  <c r="AE33"/>
  <c r="AC33"/>
  <c r="AF35"/>
  <c r="AD33"/>
  <c r="AA34"/>
  <c r="Z35"/>
  <c r="Z31"/>
  <c r="AF31"/>
  <c r="AD36"/>
  <c r="AB31"/>
  <c r="AD35"/>
  <c r="AA36"/>
  <c r="AE35"/>
  <c r="AC30"/>
  <c r="AF36"/>
  <c r="Z32"/>
  <c r="AD31"/>
  <c r="AA30"/>
  <c r="AE34"/>
  <c r="Z34"/>
  <c r="Z36"/>
  <c r="AA32"/>
  <c r="AC36"/>
  <c r="AF32"/>
  <c r="AB34"/>
  <c r="AF30"/>
  <c r="AF34"/>
  <c r="AD30"/>
  <c r="AF33"/>
  <c r="AB32"/>
  <c r="AA35"/>
  <c r="AD32"/>
  <c r="AC32"/>
  <c r="AB36"/>
  <c r="AC35"/>
  <c r="Z33"/>
  <c r="AE36"/>
  <c r="AD34"/>
  <c r="AA33"/>
  <c r="AB30"/>
  <c r="Z30"/>
  <c r="AG30" s="1"/>
  <c r="AB35"/>
  <c r="AG36" l="1"/>
  <c r="AG35"/>
  <c r="AG31"/>
  <c r="AG37"/>
  <c r="AH30" s="1"/>
  <c r="AK3" s="1"/>
  <c r="AG33"/>
  <c r="AG34"/>
  <c r="AG32"/>
  <c r="U31" i="4" l="1"/>
  <c r="AT3" i="2"/>
  <c r="B23" i="5"/>
  <c r="B20"/>
  <c r="B21"/>
  <c r="B18"/>
  <c r="B19"/>
  <c r="B22"/>
  <c r="AH36" i="2"/>
  <c r="AK9" s="1"/>
  <c r="AH35"/>
  <c r="AK8" s="1"/>
  <c r="AH34"/>
  <c r="AK7" s="1"/>
  <c r="AH31"/>
  <c r="AK4" s="1"/>
  <c r="AH33"/>
  <c r="AK6" s="1"/>
  <c r="AH32"/>
  <c r="AK5" s="1"/>
  <c r="F19" i="5" l="1"/>
  <c r="F20"/>
  <c r="F21"/>
  <c r="F22"/>
  <c r="F23"/>
  <c r="U35" i="4"/>
  <c r="AT7" i="2"/>
  <c r="F18" i="5"/>
  <c r="E19"/>
  <c r="E20"/>
  <c r="E21"/>
  <c r="E22"/>
  <c r="E23"/>
  <c r="E18"/>
  <c r="AT6" i="2"/>
  <c r="U34" i="4"/>
  <c r="U37"/>
  <c r="AT9" i="2"/>
  <c r="H18" i="5"/>
  <c r="H19"/>
  <c r="H20"/>
  <c r="H21"/>
  <c r="H22"/>
  <c r="H23"/>
  <c r="D23"/>
  <c r="U33" i="4"/>
  <c r="AT5" i="2"/>
  <c r="D18" i="5"/>
  <c r="D20"/>
  <c r="D19"/>
  <c r="D21"/>
  <c r="D22"/>
  <c r="G18"/>
  <c r="U36" i="4"/>
  <c r="G19" i="5"/>
  <c r="G21"/>
  <c r="G20"/>
  <c r="G22"/>
  <c r="AT8" i="2"/>
  <c r="G23" i="5"/>
  <c r="B27"/>
  <c r="B25"/>
  <c r="U32" i="4"/>
  <c r="P32" s="1"/>
  <c r="AT4" i="2"/>
  <c r="AU3" s="1" a="1"/>
  <c r="C19" i="5"/>
  <c r="C21"/>
  <c r="C20"/>
  <c r="C18"/>
  <c r="C23"/>
  <c r="C22"/>
  <c r="AU8" i="2" l="1"/>
  <c r="AV8" s="1"/>
  <c r="AU5"/>
  <c r="AV5" s="1"/>
  <c r="AU3"/>
  <c r="AV3" s="1"/>
  <c r="AU4"/>
  <c r="AV4" s="1"/>
  <c r="AU9"/>
  <c r="AV9" s="1"/>
  <c r="AU6"/>
  <c r="AV6" s="1"/>
  <c r="AU7"/>
  <c r="AV7" s="1"/>
  <c r="C27" i="5"/>
  <c r="J18" s="1"/>
  <c r="C25"/>
  <c r="D27"/>
  <c r="J22" s="1"/>
  <c r="D25"/>
  <c r="I21" s="1"/>
  <c r="M29" s="1"/>
  <c r="O34" i="4"/>
  <c r="P37"/>
  <c r="S32"/>
  <c r="Q34"/>
  <c r="O35"/>
  <c r="O32"/>
  <c r="N37"/>
  <c r="R35"/>
  <c r="N34"/>
  <c r="Q33"/>
  <c r="S34"/>
  <c r="Q32"/>
  <c r="G25" i="5"/>
  <c r="I23" s="1"/>
  <c r="M31" s="1"/>
  <c r="G27"/>
  <c r="E27"/>
  <c r="E25"/>
  <c r="H25"/>
  <c r="H27"/>
  <c r="F25"/>
  <c r="F27"/>
  <c r="Q37" i="4"/>
  <c r="O37"/>
  <c r="P33"/>
  <c r="P38" s="1"/>
  <c r="P42" s="1"/>
  <c r="N35"/>
  <c r="R33"/>
  <c r="Q36"/>
  <c r="N36"/>
  <c r="R32"/>
  <c r="S36"/>
  <c r="N33"/>
  <c r="J20" i="5"/>
  <c r="S33" i="4"/>
  <c r="S35"/>
  <c r="O36"/>
  <c r="R34"/>
  <c r="P35"/>
  <c r="R37"/>
  <c r="P36"/>
  <c r="N30" i="5" l="1"/>
  <c r="N26"/>
  <c r="N28"/>
  <c r="O38" i="4"/>
  <c r="O42" s="1"/>
  <c r="T32"/>
  <c r="N41" s="1"/>
  <c r="T33"/>
  <c r="O41" s="1"/>
  <c r="O43" s="1"/>
  <c r="N38"/>
  <c r="N42" s="1"/>
  <c r="I19" i="5"/>
  <c r="M27" s="1"/>
  <c r="I18"/>
  <c r="M26" s="1"/>
  <c r="I22"/>
  <c r="M30" s="1"/>
  <c r="AV10" i="2"/>
  <c r="AV11" s="1"/>
  <c r="AV12" s="1"/>
  <c r="J23" i="5"/>
  <c r="R38" i="4"/>
  <c r="R42" s="1"/>
  <c r="T35"/>
  <c r="Q41" s="1"/>
  <c r="Q43" s="1"/>
  <c r="J19" i="5"/>
  <c r="T34" i="4"/>
  <c r="P41" s="1"/>
  <c r="P43" s="1"/>
  <c r="S38"/>
  <c r="S42" s="1"/>
  <c r="T37"/>
  <c r="S41" s="1"/>
  <c r="S43" s="1"/>
  <c r="I20" i="5"/>
  <c r="M28" s="1"/>
  <c r="T36" i="4"/>
  <c r="R41" s="1"/>
  <c r="R43" s="1"/>
  <c r="Q38"/>
  <c r="Q42" s="1"/>
  <c r="J21" i="5"/>
  <c r="K21" l="1"/>
  <c r="O29" s="1"/>
  <c r="N29"/>
  <c r="N27"/>
  <c r="K19"/>
  <c r="O27" s="1"/>
  <c r="K23"/>
  <c r="O31" s="1"/>
  <c r="N31"/>
  <c r="K22"/>
  <c r="O30" s="1"/>
  <c r="K18"/>
  <c r="O26" s="1"/>
  <c r="K20"/>
  <c r="O28" s="1"/>
  <c r="N43" i="4"/>
</calcChain>
</file>

<file path=xl/sharedStrings.xml><?xml version="1.0" encoding="utf-8"?>
<sst xmlns="http://schemas.openxmlformats.org/spreadsheetml/2006/main" count="337" uniqueCount="80">
  <si>
    <t>EF</t>
  </si>
  <si>
    <t>FC</t>
  </si>
  <si>
    <t>VU</t>
  </si>
  <si>
    <t>CI</t>
  </si>
  <si>
    <t>CG</t>
  </si>
  <si>
    <t>EM</t>
  </si>
  <si>
    <t>AU</t>
  </si>
  <si>
    <t>Criterios</t>
  </si>
  <si>
    <t>Pesos</t>
  </si>
  <si>
    <t>MATRIZ ORIGINAL</t>
  </si>
  <si>
    <t>MATRIZ CUADRADA</t>
  </si>
  <si>
    <t xml:space="preserve">SUMA FILA </t>
  </si>
  <si>
    <t>AUTOVECTORES</t>
  </si>
  <si>
    <t>Ax</t>
  </si>
  <si>
    <t>l</t>
  </si>
  <si>
    <t>CR</t>
  </si>
  <si>
    <t>a1</t>
  </si>
  <si>
    <t>a2</t>
  </si>
  <si>
    <t>a3</t>
  </si>
  <si>
    <t>a4</t>
  </si>
  <si>
    <t>a5</t>
  </si>
  <si>
    <t>a6</t>
  </si>
  <si>
    <t>Tecnología</t>
  </si>
  <si>
    <t>Solar Térmica</t>
  </si>
  <si>
    <t>Solar Fotovoltaica</t>
  </si>
  <si>
    <t>Geotérmica</t>
  </si>
  <si>
    <t>Biomasa</t>
  </si>
  <si>
    <t>Eólica</t>
  </si>
  <si>
    <t>Hidro</t>
  </si>
  <si>
    <t>f1</t>
  </si>
  <si>
    <t>max</t>
  </si>
  <si>
    <t>Eficiencia (%)</t>
  </si>
  <si>
    <t>f2</t>
  </si>
  <si>
    <t>Factor de Capacidad (%)</t>
  </si>
  <si>
    <t>f3</t>
  </si>
  <si>
    <t>Vida Útil (Años)</t>
  </si>
  <si>
    <t>f4</t>
  </si>
  <si>
    <t>min</t>
  </si>
  <si>
    <t>Costos de Instalación (US$/kW)</t>
  </si>
  <si>
    <t>f5</t>
  </si>
  <si>
    <t>Costos de Generación (c$/kWh)</t>
  </si>
  <si>
    <t>f6</t>
  </si>
  <si>
    <r>
      <t>Emisiones CO</t>
    </r>
    <r>
      <rPr>
        <b/>
        <vertAlign val="subscript"/>
        <sz val="8"/>
        <color indexed="8"/>
        <rFont val="Times New Roman"/>
        <family val="1"/>
      </rPr>
      <t>2</t>
    </r>
    <r>
      <rPr>
        <b/>
        <sz val="8"/>
        <color indexed="8"/>
        <rFont val="Times New Roman"/>
        <family val="1"/>
      </rPr>
      <t xml:space="preserve"> (kg/kWh)</t>
    </r>
  </si>
  <si>
    <t>f7</t>
  </si>
  <si>
    <r>
      <t>Área Utilizada (km</t>
    </r>
    <r>
      <rPr>
        <b/>
        <vertAlign val="superscript"/>
        <sz val="8"/>
        <color indexed="8"/>
        <rFont val="Times New Roman"/>
        <family val="1"/>
      </rPr>
      <t>2</t>
    </r>
    <r>
      <rPr>
        <b/>
        <sz val="8"/>
        <color indexed="8"/>
        <rFont val="Times New Roman"/>
        <family val="1"/>
      </rPr>
      <t>/kW)</t>
    </r>
  </si>
  <si>
    <t>MAXIMIZAR</t>
  </si>
  <si>
    <t>P(a,b) f1</t>
  </si>
  <si>
    <t>Pi(a,b) (Pesos iguales)</t>
  </si>
  <si>
    <t>Fi+</t>
  </si>
  <si>
    <t>Fi-</t>
  </si>
  <si>
    <t>P(a,b) f2</t>
  </si>
  <si>
    <t>Flujo</t>
  </si>
  <si>
    <t>Fi(a)</t>
  </si>
  <si>
    <t>Pi(a,b) (Pesos diferentes)</t>
  </si>
  <si>
    <t>Alternativas</t>
  </si>
  <si>
    <t>P(a,b) f3</t>
  </si>
  <si>
    <t>MINIMIZAR</t>
  </si>
  <si>
    <t>P(a,b) f4</t>
  </si>
  <si>
    <t>P(a,b) f5</t>
  </si>
  <si>
    <t>P(a,b) f6</t>
  </si>
  <si>
    <t>P(a,b) f7</t>
  </si>
  <si>
    <t>Emisiones CO2 (kg/kWh)</t>
  </si>
  <si>
    <t>Área Utilizada (km2/kW)</t>
  </si>
  <si>
    <r>
      <t>r</t>
    </r>
    <r>
      <rPr>
        <vertAlign val="subscript"/>
        <sz val="12"/>
        <color indexed="8"/>
        <rFont val="Calibri"/>
        <family val="2"/>
      </rPr>
      <t>ij</t>
    </r>
  </si>
  <si>
    <r>
      <t>v</t>
    </r>
    <r>
      <rPr>
        <vertAlign val="subscript"/>
        <sz val="12"/>
        <color indexed="8"/>
        <rFont val="Calibri"/>
        <family val="2"/>
      </rPr>
      <t>ij</t>
    </r>
  </si>
  <si>
    <r>
      <t>A</t>
    </r>
    <r>
      <rPr>
        <vertAlign val="superscript"/>
        <sz val="11"/>
        <color indexed="8"/>
        <rFont val="Calibri"/>
        <family val="2"/>
      </rPr>
      <t>*</t>
    </r>
  </si>
  <si>
    <r>
      <t>A</t>
    </r>
    <r>
      <rPr>
        <vertAlign val="superscript"/>
        <sz val="11"/>
        <color indexed="8"/>
        <rFont val="Calibri"/>
        <family val="2"/>
      </rPr>
      <t>-</t>
    </r>
  </si>
  <si>
    <r>
      <t>D</t>
    </r>
    <r>
      <rPr>
        <vertAlign val="subscript"/>
        <sz val="11"/>
        <color indexed="8"/>
        <rFont val="Calibri"/>
        <family val="2"/>
      </rPr>
      <t>J</t>
    </r>
    <r>
      <rPr>
        <vertAlign val="superscript"/>
        <sz val="11"/>
        <color indexed="8"/>
        <rFont val="Calibri"/>
        <family val="2"/>
      </rPr>
      <t>*</t>
    </r>
  </si>
  <si>
    <r>
      <t>D</t>
    </r>
    <r>
      <rPr>
        <vertAlign val="subscript"/>
        <sz val="11"/>
        <color indexed="8"/>
        <rFont val="Calibri"/>
        <family val="2"/>
      </rPr>
      <t>J</t>
    </r>
    <r>
      <rPr>
        <vertAlign val="superscript"/>
        <sz val="11"/>
        <color indexed="8"/>
        <rFont val="Calibri"/>
        <family val="2"/>
      </rPr>
      <t>-</t>
    </r>
  </si>
  <si>
    <r>
      <t>C</t>
    </r>
    <r>
      <rPr>
        <vertAlign val="subscript"/>
        <sz val="11"/>
        <color indexed="8"/>
        <rFont val="Calibri"/>
        <family val="2"/>
      </rPr>
      <t>J</t>
    </r>
    <r>
      <rPr>
        <vertAlign val="superscript"/>
        <sz val="11"/>
        <color indexed="8"/>
        <rFont val="Calibri"/>
        <family val="2"/>
      </rPr>
      <t>*</t>
    </r>
  </si>
  <si>
    <t>Hidráulica</t>
  </si>
  <si>
    <r>
      <t>D</t>
    </r>
    <r>
      <rPr>
        <b/>
        <vertAlign val="subscript"/>
        <sz val="11"/>
        <color indexed="8"/>
        <rFont val="Times New Roman"/>
        <family val="1"/>
      </rPr>
      <t>J</t>
    </r>
    <r>
      <rPr>
        <b/>
        <vertAlign val="superscript"/>
        <sz val="11"/>
        <color indexed="8"/>
        <rFont val="Times New Roman"/>
        <family val="1"/>
      </rPr>
      <t>*</t>
    </r>
  </si>
  <si>
    <r>
      <t>D</t>
    </r>
    <r>
      <rPr>
        <b/>
        <vertAlign val="subscript"/>
        <sz val="11"/>
        <color indexed="8"/>
        <rFont val="Times New Roman"/>
        <family val="1"/>
      </rPr>
      <t>J</t>
    </r>
    <r>
      <rPr>
        <b/>
        <vertAlign val="superscript"/>
        <sz val="11"/>
        <color indexed="8"/>
        <rFont val="Times New Roman"/>
        <family val="1"/>
      </rPr>
      <t>-</t>
    </r>
  </si>
  <si>
    <r>
      <t>C</t>
    </r>
    <r>
      <rPr>
        <b/>
        <vertAlign val="subscript"/>
        <sz val="11"/>
        <color indexed="8"/>
        <rFont val="Times New Roman"/>
        <family val="1"/>
      </rPr>
      <t>J</t>
    </r>
    <r>
      <rPr>
        <b/>
        <vertAlign val="superscript"/>
        <sz val="11"/>
        <color indexed="8"/>
        <rFont val="Times New Roman"/>
        <family val="1"/>
      </rPr>
      <t>*</t>
    </r>
  </si>
  <si>
    <t>Valor</t>
  </si>
  <si>
    <t>AHP</t>
  </si>
  <si>
    <t>PROMETHEE</t>
  </si>
  <si>
    <t>TOPSIS</t>
  </si>
  <si>
    <t>Alternativa</t>
  </si>
  <si>
    <t>TECNOLOGÍA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</si>
</sst>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2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Symbol"/>
      <family val="1"/>
      <charset val="2"/>
    </font>
    <font>
      <b/>
      <sz val="10"/>
      <color indexed="8"/>
      <name val="Times New Roman"/>
      <family val="1"/>
    </font>
    <font>
      <sz val="11"/>
      <color indexed="8"/>
      <name val="Arial"/>
      <family val="2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11"/>
      <color indexed="8"/>
      <name val="Times New Roman"/>
      <family val="1"/>
    </font>
    <font>
      <b/>
      <vertAlign val="subscript"/>
      <sz val="8"/>
      <color indexed="8"/>
      <name val="Times New Roman"/>
      <family val="1"/>
    </font>
    <font>
      <b/>
      <vertAlign val="superscript"/>
      <sz val="8"/>
      <color indexed="8"/>
      <name val="Times New Roman"/>
      <family val="1"/>
    </font>
    <font>
      <b/>
      <sz val="11"/>
      <color indexed="8"/>
      <name val="Arial"/>
      <family val="2"/>
    </font>
    <font>
      <sz val="14"/>
      <color indexed="8"/>
      <name val="Arial"/>
      <family val="2"/>
    </font>
    <font>
      <vertAlign val="subscript"/>
      <sz val="11"/>
      <color indexed="8"/>
      <name val="Calibri"/>
      <family val="2"/>
    </font>
    <font>
      <sz val="12"/>
      <color indexed="8"/>
      <name val="Calibri"/>
      <family val="2"/>
    </font>
    <font>
      <vertAlign val="subscript"/>
      <sz val="12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vertAlign val="subscript"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2" fontId="3" fillId="3" borderId="1" xfId="0" applyNumberFormat="1" applyFont="1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65" fontId="23" fillId="8" borderId="1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9" borderId="1" xfId="0" applyFont="1" applyFill="1" applyBorder="1"/>
    <xf numFmtId="2" fontId="7" fillId="0" borderId="1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0" fontId="7" fillId="0" borderId="0" xfId="0" applyFont="1" applyFill="1"/>
    <xf numFmtId="0" fontId="7" fillId="0" borderId="7" xfId="0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2" borderId="1" xfId="0" applyNumberFormat="1" applyFont="1" applyFill="1" applyBorder="1"/>
    <xf numFmtId="165" fontId="7" fillId="0" borderId="0" xfId="0" applyNumberFormat="1" applyFont="1"/>
    <xf numFmtId="0" fontId="7" fillId="0" borderId="0" xfId="0" applyFont="1" applyAlignment="1"/>
    <xf numFmtId="164" fontId="14" fillId="0" borderId="0" xfId="0" applyNumberFormat="1" applyFont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10" borderId="0" xfId="0" applyNumberFormat="1" applyFill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6" fillId="2" borderId="1" xfId="0" applyFont="1" applyFill="1" applyBorder="1" applyAlignment="1">
      <alignment horizontal="left"/>
    </xf>
    <xf numFmtId="164" fontId="2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165" fontId="0" fillId="0" borderId="0" xfId="0" applyNumberFormat="1"/>
    <xf numFmtId="165" fontId="19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8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449580</xdr:colOff>
      <xdr:row>1</xdr:row>
      <xdr:rowOff>327660</xdr:rowOff>
    </xdr:from>
    <xdr:to>
      <xdr:col>11</xdr:col>
      <xdr:colOff>1013460</xdr:colOff>
      <xdr:row>9</xdr:row>
      <xdr:rowOff>38100</xdr:rowOff>
    </xdr:to>
    <xdr:pic>
      <xdr:nvPicPr>
        <xdr:cNvPr id="204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2020" y="510540"/>
          <a:ext cx="294132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V37"/>
  <sheetViews>
    <sheetView workbookViewId="0">
      <selection activeCell="AJ2" sqref="AJ2:AK9"/>
    </sheetView>
  </sheetViews>
  <sheetFormatPr baseColWidth="10" defaultColWidth="11.5703125" defaultRowHeight="15"/>
  <cols>
    <col min="1" max="8" width="7.85546875" customWidth="1"/>
    <col min="9" max="9" width="3.7109375" customWidth="1"/>
    <col min="10" max="14" width="10.5703125" hidden="1" customWidth="1"/>
    <col min="15" max="15" width="11.5703125" hidden="1" customWidth="1"/>
    <col min="16" max="16" width="10.5703125" hidden="1" customWidth="1"/>
    <col min="17" max="17" width="2.7109375" hidden="1" customWidth="1"/>
    <col min="18" max="22" width="10.5703125" style="1" hidden="1" customWidth="1"/>
    <col min="23" max="23" width="11.5703125" style="1" hidden="1" customWidth="1"/>
    <col min="24" max="24" width="10.5703125" style="1" hidden="1" customWidth="1"/>
    <col min="25" max="25" width="3.7109375" hidden="1" customWidth="1"/>
    <col min="26" max="26" width="17.85546875" style="6" hidden="1" customWidth="1"/>
    <col min="27" max="28" width="17.7109375" style="6" hidden="1" customWidth="1"/>
    <col min="29" max="31" width="18.7109375" style="6" hidden="1" customWidth="1"/>
    <col min="32" max="32" width="17.7109375" style="6" hidden="1" customWidth="1"/>
    <col min="33" max="33" width="19.7109375" style="1" hidden="1" customWidth="1"/>
    <col min="34" max="34" width="15" style="1" hidden="1" customWidth="1"/>
    <col min="35" max="35" width="4.140625" customWidth="1"/>
    <col min="37" max="37" width="11.5703125" style="1"/>
    <col min="38" max="38" width="4.140625" customWidth="1"/>
    <col min="39" max="45" width="4.5703125" style="1" bestFit="1" customWidth="1"/>
    <col min="46" max="46" width="6.5703125" style="1" bestFit="1" customWidth="1"/>
    <col min="47" max="47" width="11.5703125" style="1"/>
  </cols>
  <sheetData>
    <row r="2" spans="1:48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72" t="s">
        <v>9</v>
      </c>
      <c r="K2" s="72"/>
      <c r="L2" s="72"/>
      <c r="M2" s="72"/>
      <c r="N2" s="72"/>
      <c r="O2" s="72"/>
      <c r="P2" s="72"/>
      <c r="R2" s="72" t="s">
        <v>9</v>
      </c>
      <c r="S2" s="72"/>
      <c r="T2" s="72"/>
      <c r="U2" s="72"/>
      <c r="V2" s="72"/>
      <c r="W2" s="72"/>
      <c r="X2" s="72"/>
      <c r="Z2" s="73" t="s">
        <v>10</v>
      </c>
      <c r="AA2" s="73"/>
      <c r="AB2" s="73"/>
      <c r="AC2" s="73"/>
      <c r="AD2" s="73"/>
      <c r="AE2" s="73"/>
      <c r="AF2" s="73"/>
      <c r="AG2" s="1" t="s">
        <v>11</v>
      </c>
      <c r="AH2" s="1" t="s">
        <v>12</v>
      </c>
      <c r="AJ2" s="16" t="s">
        <v>7</v>
      </c>
      <c r="AK2" s="16" t="s">
        <v>8</v>
      </c>
      <c r="AU2" s="12" t="s">
        <v>13</v>
      </c>
      <c r="AV2" s="13" t="s">
        <v>14</v>
      </c>
    </row>
    <row r="3" spans="1:48">
      <c r="A3" s="2" t="s">
        <v>0</v>
      </c>
      <c r="B3" s="3">
        <v>1</v>
      </c>
      <c r="C3" s="4">
        <f>1/3</f>
        <v>0.33333333333333331</v>
      </c>
      <c r="D3" s="4">
        <f>1/3</f>
        <v>0.33333333333333331</v>
      </c>
      <c r="E3" s="3">
        <v>3</v>
      </c>
      <c r="F3" s="3">
        <v>3</v>
      </c>
      <c r="G3" s="3">
        <v>3</v>
      </c>
      <c r="H3" s="15">
        <v>1</v>
      </c>
      <c r="J3" s="6">
        <f>B3</f>
        <v>1</v>
      </c>
      <c r="K3" s="6">
        <f t="shared" ref="K3:P3" si="0">C3</f>
        <v>0.33333333333333331</v>
      </c>
      <c r="L3" s="6">
        <f t="shared" si="0"/>
        <v>0.33333333333333331</v>
      </c>
      <c r="M3" s="6">
        <f t="shared" si="0"/>
        <v>3</v>
      </c>
      <c r="N3" s="6">
        <f t="shared" si="0"/>
        <v>3</v>
      </c>
      <c r="O3" s="6">
        <f t="shared" si="0"/>
        <v>3</v>
      </c>
      <c r="P3" s="6">
        <f t="shared" si="0"/>
        <v>1</v>
      </c>
      <c r="R3" s="6">
        <f>J3</f>
        <v>1</v>
      </c>
      <c r="S3" s="6">
        <f t="shared" ref="S3:X3" si="1">K3</f>
        <v>0.33333333333333331</v>
      </c>
      <c r="T3" s="6">
        <f t="shared" si="1"/>
        <v>0.33333333333333331</v>
      </c>
      <c r="U3" s="6">
        <f t="shared" si="1"/>
        <v>3</v>
      </c>
      <c r="V3" s="6">
        <f t="shared" si="1"/>
        <v>3</v>
      </c>
      <c r="W3" s="6">
        <f t="shared" si="1"/>
        <v>3</v>
      </c>
      <c r="X3" s="6">
        <f t="shared" si="1"/>
        <v>1</v>
      </c>
      <c r="Z3" s="6">
        <f t="array" ref="Z3:AF9">MMULT(J3:P9,R3:X9)</f>
        <v>7</v>
      </c>
      <c r="AA3" s="6">
        <v>4.1111111111111107</v>
      </c>
      <c r="AB3" s="6">
        <v>5.6666666666666661</v>
      </c>
      <c r="AC3" s="6">
        <v>15</v>
      </c>
      <c r="AD3" s="6">
        <v>15</v>
      </c>
      <c r="AE3" s="6">
        <v>29</v>
      </c>
      <c r="AF3" s="6">
        <v>6.3333333333333339</v>
      </c>
      <c r="AG3" s="6">
        <f>SUM(Z3:AF3)</f>
        <v>82.1111111111111</v>
      </c>
      <c r="AH3" s="7">
        <f>AG3/$AG$10</f>
        <v>0.1421427197537988</v>
      </c>
      <c r="AJ3" s="2" t="s">
        <v>0</v>
      </c>
      <c r="AK3" s="17">
        <f>AH30</f>
        <v>0.13952874663691719</v>
      </c>
      <c r="AM3" s="9">
        <f t="shared" ref="AM3:AS9" si="2">J3</f>
        <v>1</v>
      </c>
      <c r="AN3" s="9">
        <f t="shared" si="2"/>
        <v>0.33333333333333331</v>
      </c>
      <c r="AO3" s="9">
        <f t="shared" si="2"/>
        <v>0.33333333333333331</v>
      </c>
      <c r="AP3" s="9">
        <f t="shared" si="2"/>
        <v>3</v>
      </c>
      <c r="AQ3" s="9">
        <f t="shared" si="2"/>
        <v>3</v>
      </c>
      <c r="AR3" s="9">
        <f t="shared" si="2"/>
        <v>3</v>
      </c>
      <c r="AS3" s="9">
        <f t="shared" si="2"/>
        <v>1</v>
      </c>
      <c r="AT3" s="8">
        <f>AK3</f>
        <v>0.13952874663691719</v>
      </c>
      <c r="AU3" s="10">
        <f t="array" ref="AU3:AU9">MMULT(AM3:AS9,AT3:AT9)</f>
        <v>1.0553137204408995</v>
      </c>
      <c r="AV3">
        <f>AU3/AT3</f>
        <v>7.5634143205417397</v>
      </c>
    </row>
    <row r="4" spans="1:48">
      <c r="A4" s="2" t="s">
        <v>1</v>
      </c>
      <c r="B4" s="3">
        <f>1/C3</f>
        <v>3</v>
      </c>
      <c r="C4" s="3">
        <v>1</v>
      </c>
      <c r="D4" s="3">
        <v>3</v>
      </c>
      <c r="E4" s="3">
        <v>3</v>
      </c>
      <c r="F4" s="3">
        <v>3</v>
      </c>
      <c r="G4" s="3">
        <v>3</v>
      </c>
      <c r="H4" s="3">
        <v>3</v>
      </c>
      <c r="J4" s="6">
        <f t="shared" ref="J4:J9" si="3">B4</f>
        <v>3</v>
      </c>
      <c r="K4" s="6">
        <f t="shared" ref="K4:K9" si="4">C4</f>
        <v>1</v>
      </c>
      <c r="L4" s="6">
        <f t="shared" ref="L4:L9" si="5">D4</f>
        <v>3</v>
      </c>
      <c r="M4" s="6">
        <f t="shared" ref="M4:M9" si="6">E4</f>
        <v>3</v>
      </c>
      <c r="N4" s="6">
        <f t="shared" ref="N4:N9" si="7">F4</f>
        <v>3</v>
      </c>
      <c r="O4" s="6">
        <f t="shared" ref="O4:O9" si="8">G4</f>
        <v>3</v>
      </c>
      <c r="P4" s="6">
        <f t="shared" ref="P4:P9" si="9">H4</f>
        <v>3</v>
      </c>
      <c r="R4" s="6">
        <f t="shared" ref="R4:R9" si="10">J4</f>
        <v>3</v>
      </c>
      <c r="S4" s="6">
        <f t="shared" ref="S4:S9" si="11">K4</f>
        <v>1</v>
      </c>
      <c r="T4" s="6">
        <f t="shared" ref="T4:T9" si="12">L4</f>
        <v>3</v>
      </c>
      <c r="U4" s="6">
        <f t="shared" ref="U4:U9" si="13">M4</f>
        <v>3</v>
      </c>
      <c r="V4" s="6">
        <f t="shared" ref="V4:V9" si="14">N4</f>
        <v>3</v>
      </c>
      <c r="W4" s="6">
        <f t="shared" ref="W4:W9" si="15">O4</f>
        <v>3</v>
      </c>
      <c r="X4" s="6">
        <f t="shared" ref="X4:X9" si="16">P4</f>
        <v>3</v>
      </c>
      <c r="Z4" s="6">
        <v>21</v>
      </c>
      <c r="AA4" s="6">
        <v>7</v>
      </c>
      <c r="AB4" s="6">
        <v>13</v>
      </c>
      <c r="AC4" s="6">
        <v>37</v>
      </c>
      <c r="AD4" s="6">
        <v>37</v>
      </c>
      <c r="AE4" s="6">
        <v>51</v>
      </c>
      <c r="AF4" s="6">
        <v>15</v>
      </c>
      <c r="AG4" s="6">
        <f t="shared" ref="AG4:AG9" si="17">SUM(Z4:AF4)</f>
        <v>181</v>
      </c>
      <c r="AH4" s="7">
        <f t="shared" ref="AH4:AH9" si="18">AG4/$AG$10</f>
        <v>0.31332948643969999</v>
      </c>
      <c r="AJ4" s="2" t="s">
        <v>1</v>
      </c>
      <c r="AK4" s="17">
        <f t="shared" ref="AK4:AK9" si="19">AH31</f>
        <v>0.31369549624900245</v>
      </c>
      <c r="AM4" s="9">
        <f t="shared" si="2"/>
        <v>3</v>
      </c>
      <c r="AN4" s="9">
        <f t="shared" si="2"/>
        <v>1</v>
      </c>
      <c r="AO4" s="9">
        <f t="shared" si="2"/>
        <v>3</v>
      </c>
      <c r="AP4" s="9">
        <f t="shared" si="2"/>
        <v>3</v>
      </c>
      <c r="AQ4" s="9">
        <f t="shared" si="2"/>
        <v>3</v>
      </c>
      <c r="AR4" s="9">
        <f t="shared" si="2"/>
        <v>3</v>
      </c>
      <c r="AS4" s="9">
        <f t="shared" si="2"/>
        <v>3</v>
      </c>
      <c r="AT4" s="8">
        <f t="shared" ref="AT4:AT9" si="20">AK4</f>
        <v>0.31369549624900245</v>
      </c>
      <c r="AU4" s="10">
        <v>2.3726090075019957</v>
      </c>
      <c r="AV4">
        <f t="shared" ref="AV4:AV9" si="21">AU4/AT4</f>
        <v>7.5634143169804613</v>
      </c>
    </row>
    <row r="5" spans="1:48">
      <c r="A5" s="2" t="s">
        <v>2</v>
      </c>
      <c r="B5" s="3">
        <f>1/D3</f>
        <v>3</v>
      </c>
      <c r="C5" s="4">
        <f>1/D4</f>
        <v>0.33333333333333331</v>
      </c>
      <c r="D5" s="3">
        <v>1</v>
      </c>
      <c r="E5" s="3">
        <v>3</v>
      </c>
      <c r="F5" s="3">
        <v>3</v>
      </c>
      <c r="G5" s="3">
        <v>3</v>
      </c>
      <c r="H5" s="3">
        <v>1</v>
      </c>
      <c r="J5" s="6">
        <f t="shared" si="3"/>
        <v>3</v>
      </c>
      <c r="K5" s="6">
        <f t="shared" si="4"/>
        <v>0.33333333333333331</v>
      </c>
      <c r="L5" s="6">
        <f t="shared" si="5"/>
        <v>1</v>
      </c>
      <c r="M5" s="6">
        <f t="shared" si="6"/>
        <v>3</v>
      </c>
      <c r="N5" s="6">
        <f t="shared" si="7"/>
        <v>3</v>
      </c>
      <c r="O5" s="6">
        <f t="shared" si="8"/>
        <v>3</v>
      </c>
      <c r="P5" s="6">
        <f t="shared" si="9"/>
        <v>1</v>
      </c>
      <c r="R5" s="6">
        <f t="shared" si="10"/>
        <v>3</v>
      </c>
      <c r="S5" s="6">
        <f t="shared" si="11"/>
        <v>0.33333333333333331</v>
      </c>
      <c r="T5" s="6">
        <f t="shared" si="12"/>
        <v>1</v>
      </c>
      <c r="U5" s="6">
        <f t="shared" si="13"/>
        <v>3</v>
      </c>
      <c r="V5" s="6">
        <f t="shared" si="14"/>
        <v>3</v>
      </c>
      <c r="W5" s="6">
        <f t="shared" si="15"/>
        <v>3</v>
      </c>
      <c r="X5" s="6">
        <f t="shared" si="16"/>
        <v>1</v>
      </c>
      <c r="Z5" s="6">
        <v>11</v>
      </c>
      <c r="AA5" s="6">
        <v>4.9999999999999991</v>
      </c>
      <c r="AB5" s="6">
        <v>7</v>
      </c>
      <c r="AC5" s="6">
        <v>23</v>
      </c>
      <c r="AD5" s="6">
        <v>23</v>
      </c>
      <c r="AE5" s="6">
        <v>37</v>
      </c>
      <c r="AF5" s="6">
        <v>9</v>
      </c>
      <c r="AG5" s="6">
        <f t="shared" si="17"/>
        <v>115</v>
      </c>
      <c r="AH5" s="7">
        <f t="shared" si="18"/>
        <v>0.19907674552798615</v>
      </c>
      <c r="AJ5" s="2" t="s">
        <v>2</v>
      </c>
      <c r="AK5" s="17">
        <f t="shared" si="19"/>
        <v>0.19347832934046238</v>
      </c>
      <c r="AM5" s="9">
        <f t="shared" si="2"/>
        <v>3</v>
      </c>
      <c r="AN5" s="9">
        <f t="shared" si="2"/>
        <v>0.33333333333333331</v>
      </c>
      <c r="AO5" s="9">
        <f t="shared" si="2"/>
        <v>1</v>
      </c>
      <c r="AP5" s="9">
        <f t="shared" si="2"/>
        <v>3</v>
      </c>
      <c r="AQ5" s="9">
        <f t="shared" si="2"/>
        <v>3</v>
      </c>
      <c r="AR5" s="9">
        <f t="shared" si="2"/>
        <v>3</v>
      </c>
      <c r="AS5" s="9">
        <f t="shared" si="2"/>
        <v>1</v>
      </c>
      <c r="AT5" s="8">
        <f t="shared" si="20"/>
        <v>0.19347832934046238</v>
      </c>
      <c r="AU5" s="10">
        <v>1.4633567666083755</v>
      </c>
      <c r="AV5">
        <f t="shared" si="21"/>
        <v>7.5634143193024865</v>
      </c>
    </row>
    <row r="6" spans="1:48">
      <c r="A6" s="2" t="s">
        <v>3</v>
      </c>
      <c r="B6" s="4">
        <f>1/E3</f>
        <v>0.33333333333333331</v>
      </c>
      <c r="C6" s="4">
        <f>1/E4</f>
        <v>0.33333333333333331</v>
      </c>
      <c r="D6" s="4">
        <f>1/E5</f>
        <v>0.33333333333333331</v>
      </c>
      <c r="E6" s="3">
        <v>1</v>
      </c>
      <c r="F6" s="3">
        <v>1</v>
      </c>
      <c r="G6" s="3">
        <v>3</v>
      </c>
      <c r="H6" s="4">
        <f>1/3</f>
        <v>0.33333333333333331</v>
      </c>
      <c r="J6" s="6">
        <f t="shared" si="3"/>
        <v>0.33333333333333331</v>
      </c>
      <c r="K6" s="6">
        <f t="shared" si="4"/>
        <v>0.33333333333333331</v>
      </c>
      <c r="L6" s="6">
        <f t="shared" si="5"/>
        <v>0.33333333333333331</v>
      </c>
      <c r="M6" s="6">
        <f t="shared" si="6"/>
        <v>1</v>
      </c>
      <c r="N6" s="6">
        <f t="shared" si="7"/>
        <v>1</v>
      </c>
      <c r="O6" s="6">
        <f t="shared" si="8"/>
        <v>3</v>
      </c>
      <c r="P6" s="6">
        <f t="shared" si="9"/>
        <v>0.33333333333333331</v>
      </c>
      <c r="R6" s="6">
        <f t="shared" si="10"/>
        <v>0.33333333333333331</v>
      </c>
      <c r="S6" s="6">
        <f t="shared" si="11"/>
        <v>0.33333333333333331</v>
      </c>
      <c r="T6" s="6">
        <f t="shared" si="12"/>
        <v>0.33333333333333331</v>
      </c>
      <c r="U6" s="6">
        <f t="shared" si="13"/>
        <v>1</v>
      </c>
      <c r="V6" s="6">
        <f t="shared" si="14"/>
        <v>1</v>
      </c>
      <c r="W6" s="6">
        <f t="shared" si="15"/>
        <v>3</v>
      </c>
      <c r="X6" s="6">
        <f t="shared" si="16"/>
        <v>0.33333333333333331</v>
      </c>
      <c r="Z6" s="6">
        <v>4.333333333333333</v>
      </c>
      <c r="AA6" s="6">
        <v>2.3333333333333335</v>
      </c>
      <c r="AB6" s="6">
        <v>3.4444444444444446</v>
      </c>
      <c r="AC6" s="6">
        <v>7</v>
      </c>
      <c r="AD6" s="6">
        <v>7</v>
      </c>
      <c r="AE6" s="6">
        <v>13</v>
      </c>
      <c r="AF6" s="6">
        <v>3.6666666666666665</v>
      </c>
      <c r="AG6" s="6">
        <f t="shared" si="17"/>
        <v>40.777777777777779</v>
      </c>
      <c r="AH6" s="7">
        <f t="shared" si="18"/>
        <v>7.059049817272553E-2</v>
      </c>
      <c r="AJ6" s="2" t="s">
        <v>3</v>
      </c>
      <c r="AK6" s="17">
        <f t="shared" si="19"/>
        <v>7.4191420911075653E-2</v>
      </c>
      <c r="AM6" s="9">
        <f t="shared" si="2"/>
        <v>0.33333333333333331</v>
      </c>
      <c r="AN6" s="9">
        <f t="shared" si="2"/>
        <v>0.33333333333333331</v>
      </c>
      <c r="AO6" s="9">
        <f t="shared" si="2"/>
        <v>0.33333333333333331</v>
      </c>
      <c r="AP6" s="9">
        <f t="shared" si="2"/>
        <v>1</v>
      </c>
      <c r="AQ6" s="9">
        <f t="shared" si="2"/>
        <v>1</v>
      </c>
      <c r="AR6" s="9">
        <f t="shared" si="2"/>
        <v>3</v>
      </c>
      <c r="AS6" s="9">
        <f t="shared" si="2"/>
        <v>0.33333333333333331</v>
      </c>
      <c r="AT6" s="8">
        <f t="shared" si="20"/>
        <v>7.4191420911075653E-2</v>
      </c>
      <c r="AU6" s="10">
        <v>0.56114045524530998</v>
      </c>
      <c r="AV6">
        <f t="shared" si="21"/>
        <v>7.5634143187240159</v>
      </c>
    </row>
    <row r="7" spans="1:48">
      <c r="A7" s="2" t="s">
        <v>4</v>
      </c>
      <c r="B7" s="4">
        <f>1/F3</f>
        <v>0.33333333333333331</v>
      </c>
      <c r="C7" s="4">
        <f>1/F4</f>
        <v>0.33333333333333331</v>
      </c>
      <c r="D7" s="4">
        <f>1/F5</f>
        <v>0.33333333333333331</v>
      </c>
      <c r="E7" s="3">
        <f>1/F6</f>
        <v>1</v>
      </c>
      <c r="F7" s="3">
        <v>1</v>
      </c>
      <c r="G7" s="3">
        <v>3</v>
      </c>
      <c r="H7" s="4">
        <f>1/3</f>
        <v>0.33333333333333331</v>
      </c>
      <c r="J7" s="6">
        <f t="shared" si="3"/>
        <v>0.33333333333333331</v>
      </c>
      <c r="K7" s="6">
        <f t="shared" si="4"/>
        <v>0.33333333333333331</v>
      </c>
      <c r="L7" s="6">
        <f t="shared" si="5"/>
        <v>0.33333333333333331</v>
      </c>
      <c r="M7" s="6">
        <f t="shared" si="6"/>
        <v>1</v>
      </c>
      <c r="N7" s="6">
        <f t="shared" si="7"/>
        <v>1</v>
      </c>
      <c r="O7" s="6">
        <f t="shared" si="8"/>
        <v>3</v>
      </c>
      <c r="P7" s="6">
        <f t="shared" si="9"/>
        <v>0.33333333333333331</v>
      </c>
      <c r="R7" s="6">
        <f t="shared" si="10"/>
        <v>0.33333333333333331</v>
      </c>
      <c r="S7" s="6">
        <f t="shared" si="11"/>
        <v>0.33333333333333331</v>
      </c>
      <c r="T7" s="6">
        <f t="shared" si="12"/>
        <v>0.33333333333333331</v>
      </c>
      <c r="U7" s="6">
        <f t="shared" si="13"/>
        <v>1</v>
      </c>
      <c r="V7" s="6">
        <f t="shared" si="14"/>
        <v>1</v>
      </c>
      <c r="W7" s="6">
        <f t="shared" si="15"/>
        <v>3</v>
      </c>
      <c r="X7" s="6">
        <f t="shared" si="16"/>
        <v>0.33333333333333331</v>
      </c>
      <c r="Z7" s="6">
        <v>4.333333333333333</v>
      </c>
      <c r="AA7" s="6">
        <v>2.3333333333333335</v>
      </c>
      <c r="AB7" s="6">
        <v>3.4444444444444446</v>
      </c>
      <c r="AC7" s="6">
        <v>7</v>
      </c>
      <c r="AD7" s="6">
        <v>7</v>
      </c>
      <c r="AE7" s="6">
        <v>13</v>
      </c>
      <c r="AF7" s="6">
        <v>3.6666666666666665</v>
      </c>
      <c r="AG7" s="6">
        <f t="shared" si="17"/>
        <v>40.777777777777779</v>
      </c>
      <c r="AH7" s="7">
        <f t="shared" si="18"/>
        <v>7.059049817272553E-2</v>
      </c>
      <c r="AJ7" s="2" t="s">
        <v>4</v>
      </c>
      <c r="AK7" s="17">
        <f t="shared" si="19"/>
        <v>7.4191420911075653E-2</v>
      </c>
      <c r="AM7" s="9">
        <f t="shared" si="2"/>
        <v>0.33333333333333331</v>
      </c>
      <c r="AN7" s="9">
        <f t="shared" si="2"/>
        <v>0.33333333333333331</v>
      </c>
      <c r="AO7" s="9">
        <f t="shared" si="2"/>
        <v>0.33333333333333331</v>
      </c>
      <c r="AP7" s="9">
        <f t="shared" si="2"/>
        <v>1</v>
      </c>
      <c r="AQ7" s="9">
        <f t="shared" si="2"/>
        <v>1</v>
      </c>
      <c r="AR7" s="9">
        <f t="shared" si="2"/>
        <v>3</v>
      </c>
      <c r="AS7" s="9">
        <f t="shared" si="2"/>
        <v>0.33333333333333331</v>
      </c>
      <c r="AT7" s="8">
        <f t="shared" si="20"/>
        <v>7.4191420911075653E-2</v>
      </c>
      <c r="AU7" s="10">
        <v>0.56114045524530998</v>
      </c>
      <c r="AV7">
        <f t="shared" si="21"/>
        <v>7.5634143187240159</v>
      </c>
    </row>
    <row r="8" spans="1:48">
      <c r="A8" s="2" t="s">
        <v>5</v>
      </c>
      <c r="B8" s="4">
        <f>1/G3</f>
        <v>0.33333333333333331</v>
      </c>
      <c r="C8" s="4">
        <f>1/G4</f>
        <v>0.33333333333333331</v>
      </c>
      <c r="D8" s="4">
        <f>1/G5</f>
        <v>0.33333333333333331</v>
      </c>
      <c r="E8" s="4">
        <f>1/G6</f>
        <v>0.33333333333333331</v>
      </c>
      <c r="F8" s="4">
        <f>1/G7</f>
        <v>0.33333333333333331</v>
      </c>
      <c r="G8" s="3">
        <v>1</v>
      </c>
      <c r="H8" s="4">
        <f>1/3</f>
        <v>0.33333333333333331</v>
      </c>
      <c r="J8" s="6">
        <f t="shared" si="3"/>
        <v>0.33333333333333331</v>
      </c>
      <c r="K8" s="6">
        <f t="shared" si="4"/>
        <v>0.33333333333333331</v>
      </c>
      <c r="L8" s="6">
        <f t="shared" si="5"/>
        <v>0.33333333333333331</v>
      </c>
      <c r="M8" s="6">
        <f t="shared" si="6"/>
        <v>0.33333333333333331</v>
      </c>
      <c r="N8" s="6">
        <f t="shared" si="7"/>
        <v>0.33333333333333331</v>
      </c>
      <c r="O8" s="6">
        <f t="shared" si="8"/>
        <v>1</v>
      </c>
      <c r="P8" s="6">
        <f t="shared" si="9"/>
        <v>0.33333333333333331</v>
      </c>
      <c r="R8" s="6">
        <f t="shared" si="10"/>
        <v>0.33333333333333331</v>
      </c>
      <c r="S8" s="6">
        <f t="shared" si="11"/>
        <v>0.33333333333333331</v>
      </c>
      <c r="T8" s="6">
        <f t="shared" si="12"/>
        <v>0.33333333333333331</v>
      </c>
      <c r="U8" s="6">
        <f t="shared" si="13"/>
        <v>0.33333333333333331</v>
      </c>
      <c r="V8" s="6">
        <f t="shared" si="14"/>
        <v>0.33333333333333331</v>
      </c>
      <c r="W8" s="6">
        <f t="shared" si="15"/>
        <v>1</v>
      </c>
      <c r="X8" s="6">
        <f t="shared" si="16"/>
        <v>0.33333333333333331</v>
      </c>
      <c r="Z8" s="6">
        <v>3.2222222222222223</v>
      </c>
      <c r="AA8" s="6">
        <v>1.2222222222222223</v>
      </c>
      <c r="AB8" s="6">
        <v>2.3333333333333335</v>
      </c>
      <c r="AC8" s="6">
        <v>5</v>
      </c>
      <c r="AD8" s="6">
        <v>5</v>
      </c>
      <c r="AE8" s="6">
        <v>7</v>
      </c>
      <c r="AF8" s="6">
        <v>2.5555555555555558</v>
      </c>
      <c r="AG8" s="6">
        <f t="shared" si="17"/>
        <v>26.333333333333336</v>
      </c>
      <c r="AH8" s="7">
        <f t="shared" si="18"/>
        <v>4.5585689555683789E-2</v>
      </c>
      <c r="AJ8" s="2" t="s">
        <v>5</v>
      </c>
      <c r="AK8" s="17">
        <f t="shared" si="19"/>
        <v>4.8331960261453401E-2</v>
      </c>
      <c r="AM8" s="9">
        <f t="shared" si="2"/>
        <v>0.33333333333333331</v>
      </c>
      <c r="AN8" s="9">
        <f t="shared" si="2"/>
        <v>0.33333333333333331</v>
      </c>
      <c r="AO8" s="9">
        <f t="shared" si="2"/>
        <v>0.33333333333333331</v>
      </c>
      <c r="AP8" s="9">
        <f t="shared" si="2"/>
        <v>0.33333333333333331</v>
      </c>
      <c r="AQ8" s="9">
        <f t="shared" si="2"/>
        <v>0.33333333333333331</v>
      </c>
      <c r="AR8" s="9">
        <f t="shared" si="2"/>
        <v>1</v>
      </c>
      <c r="AS8" s="9">
        <f t="shared" si="2"/>
        <v>0.33333333333333331</v>
      </c>
      <c r="AT8" s="8">
        <f t="shared" si="20"/>
        <v>4.8331960261453401E-2</v>
      </c>
      <c r="AU8" s="10">
        <v>0.36555464017430228</v>
      </c>
      <c r="AV8">
        <f t="shared" si="21"/>
        <v>7.5634143162582665</v>
      </c>
    </row>
    <row r="9" spans="1:48">
      <c r="A9" s="2" t="s">
        <v>6</v>
      </c>
      <c r="B9" s="3">
        <f>1/H3</f>
        <v>1</v>
      </c>
      <c r="C9" s="4">
        <f>1/H4</f>
        <v>0.33333333333333331</v>
      </c>
      <c r="D9" s="4">
        <f>1/H5</f>
        <v>1</v>
      </c>
      <c r="E9" s="3">
        <v>3</v>
      </c>
      <c r="F9" s="3">
        <v>3</v>
      </c>
      <c r="G9" s="3">
        <v>3</v>
      </c>
      <c r="H9" s="3">
        <v>1</v>
      </c>
      <c r="J9" s="6">
        <f t="shared" si="3"/>
        <v>1</v>
      </c>
      <c r="K9" s="6">
        <f t="shared" si="4"/>
        <v>0.33333333333333331</v>
      </c>
      <c r="L9" s="6">
        <f t="shared" si="5"/>
        <v>1</v>
      </c>
      <c r="M9" s="6">
        <f t="shared" si="6"/>
        <v>3</v>
      </c>
      <c r="N9" s="6">
        <f t="shared" si="7"/>
        <v>3</v>
      </c>
      <c r="O9" s="6">
        <f t="shared" si="8"/>
        <v>3</v>
      </c>
      <c r="P9" s="6">
        <f t="shared" si="9"/>
        <v>1</v>
      </c>
      <c r="R9" s="6">
        <f t="shared" si="10"/>
        <v>1</v>
      </c>
      <c r="S9" s="6">
        <f t="shared" si="11"/>
        <v>0.33333333333333331</v>
      </c>
      <c r="T9" s="6">
        <f t="shared" si="12"/>
        <v>1</v>
      </c>
      <c r="U9" s="6">
        <f t="shared" si="13"/>
        <v>3</v>
      </c>
      <c r="V9" s="6">
        <f t="shared" si="14"/>
        <v>3</v>
      </c>
      <c r="W9" s="6">
        <f t="shared" si="15"/>
        <v>3</v>
      </c>
      <c r="X9" s="6">
        <f t="shared" si="16"/>
        <v>1</v>
      </c>
      <c r="Z9" s="6">
        <v>9</v>
      </c>
      <c r="AA9" s="6">
        <v>4.333333333333333</v>
      </c>
      <c r="AB9" s="6">
        <v>6.333333333333333</v>
      </c>
      <c r="AC9" s="6">
        <v>17</v>
      </c>
      <c r="AD9" s="6">
        <v>17</v>
      </c>
      <c r="AE9" s="6">
        <v>31</v>
      </c>
      <c r="AF9" s="6">
        <v>7</v>
      </c>
      <c r="AG9" s="6">
        <f t="shared" si="17"/>
        <v>91.666666666666657</v>
      </c>
      <c r="AH9" s="7">
        <f t="shared" si="18"/>
        <v>0.15868436237738026</v>
      </c>
      <c r="AJ9" s="2" t="s">
        <v>6</v>
      </c>
      <c r="AK9" s="17">
        <f t="shared" si="19"/>
        <v>0.15658262569001333</v>
      </c>
      <c r="AM9" s="9">
        <f t="shared" si="2"/>
        <v>1</v>
      </c>
      <c r="AN9" s="9">
        <f t="shared" si="2"/>
        <v>0.33333333333333331</v>
      </c>
      <c r="AO9" s="9">
        <f t="shared" si="2"/>
        <v>1</v>
      </c>
      <c r="AP9" s="9">
        <f t="shared" si="2"/>
        <v>3</v>
      </c>
      <c r="AQ9" s="9">
        <f t="shared" si="2"/>
        <v>3</v>
      </c>
      <c r="AR9" s="9">
        <f t="shared" si="2"/>
        <v>3</v>
      </c>
      <c r="AS9" s="9">
        <f t="shared" si="2"/>
        <v>1</v>
      </c>
      <c r="AT9" s="8">
        <f t="shared" si="20"/>
        <v>0.15658262569001333</v>
      </c>
      <c r="AU9" s="10">
        <v>1.1842992733345414</v>
      </c>
      <c r="AV9">
        <f t="shared" si="21"/>
        <v>7.5634143195369523</v>
      </c>
    </row>
    <row r="10" spans="1:48">
      <c r="AG10" s="6">
        <f>SUM(AG3:AG9)</f>
        <v>577.66666666666663</v>
      </c>
      <c r="AV10" s="11">
        <f>AVERAGE(AV3:AV9)</f>
        <v>7.5634143185811338</v>
      </c>
    </row>
    <row r="11" spans="1:48">
      <c r="AG11" s="6"/>
      <c r="AU11" s="1" t="s">
        <v>3</v>
      </c>
      <c r="AV11">
        <f>(AV10-7)/(7-1)</f>
        <v>9.3902386430188958E-2</v>
      </c>
    </row>
    <row r="12" spans="1:48">
      <c r="J12" s="5">
        <f>Z3</f>
        <v>7</v>
      </c>
      <c r="K12" s="5">
        <f t="shared" ref="K12:P12" si="22">AA3</f>
        <v>4.1111111111111107</v>
      </c>
      <c r="L12" s="5">
        <f t="shared" si="22"/>
        <v>5.6666666666666661</v>
      </c>
      <c r="M12" s="5">
        <f t="shared" si="22"/>
        <v>15</v>
      </c>
      <c r="N12" s="5">
        <f t="shared" si="22"/>
        <v>15</v>
      </c>
      <c r="O12" s="5">
        <f t="shared" si="22"/>
        <v>29</v>
      </c>
      <c r="P12" s="5">
        <f t="shared" si="22"/>
        <v>6.3333333333333339</v>
      </c>
      <c r="R12" s="6">
        <f>Z3</f>
        <v>7</v>
      </c>
      <c r="S12" s="6">
        <f t="shared" ref="S12:X12" si="23">AA3</f>
        <v>4.1111111111111107</v>
      </c>
      <c r="T12" s="6">
        <f t="shared" si="23"/>
        <v>5.6666666666666661</v>
      </c>
      <c r="U12" s="6">
        <f t="shared" si="23"/>
        <v>15</v>
      </c>
      <c r="V12" s="6">
        <f t="shared" si="23"/>
        <v>15</v>
      </c>
      <c r="W12" s="6">
        <f t="shared" si="23"/>
        <v>29</v>
      </c>
      <c r="X12" s="6">
        <f t="shared" si="23"/>
        <v>6.3333333333333339</v>
      </c>
      <c r="Z12" s="6">
        <f t="array" ref="Z12:AF18">MMULT(J12:P18,R12:X18)</f>
        <v>478.11111111111109</v>
      </c>
      <c r="AA12" s="6">
        <v>218.77777777777777</v>
      </c>
      <c r="AB12" s="6">
        <v>343.88888888888891</v>
      </c>
      <c r="AC12" s="6">
        <v>850.11111111111097</v>
      </c>
      <c r="AD12" s="6">
        <v>850.11111111111097</v>
      </c>
      <c r="AE12" s="6">
        <v>1411.6666666666665</v>
      </c>
      <c r="AF12" s="6">
        <v>385.4444444444444</v>
      </c>
      <c r="AG12" s="6">
        <f>SUM(Z12:AF12)</f>
        <v>4538.1111111111104</v>
      </c>
      <c r="AH12" s="7">
        <f>AG12/$AG$19</f>
        <v>0.13932494751440583</v>
      </c>
      <c r="AU12" s="1" t="s">
        <v>15</v>
      </c>
      <c r="AV12" s="14">
        <f>AV11/1.35</f>
        <v>6.9557323281621453E-2</v>
      </c>
    </row>
    <row r="13" spans="1:48">
      <c r="J13" s="5">
        <f t="shared" ref="J13:J18" si="24">Z4</f>
        <v>21</v>
      </c>
      <c r="K13" s="5">
        <f t="shared" ref="K13:K18" si="25">AA4</f>
        <v>7</v>
      </c>
      <c r="L13" s="5">
        <f t="shared" ref="L13:L18" si="26">AB4</f>
        <v>13</v>
      </c>
      <c r="M13" s="5">
        <f t="shared" ref="M13:M18" si="27">AC4</f>
        <v>37</v>
      </c>
      <c r="N13" s="5">
        <f t="shared" ref="N13:N18" si="28">AD4</f>
        <v>37</v>
      </c>
      <c r="O13" s="5">
        <f t="shared" ref="O13:O18" si="29">AE4</f>
        <v>51</v>
      </c>
      <c r="P13" s="5">
        <f t="shared" ref="P13:P18" si="30">AF4</f>
        <v>15</v>
      </c>
      <c r="R13" s="6">
        <f t="shared" ref="R13:R18" si="31">Z4</f>
        <v>21</v>
      </c>
      <c r="S13" s="6">
        <f t="shared" ref="S13:S18" si="32">AA4</f>
        <v>7</v>
      </c>
      <c r="T13" s="6">
        <f t="shared" ref="T13:T18" si="33">AB4</f>
        <v>13</v>
      </c>
      <c r="U13" s="6">
        <f t="shared" ref="U13:U18" si="34">AC4</f>
        <v>37</v>
      </c>
      <c r="V13" s="6">
        <f t="shared" ref="V13:V18" si="35">AD4</f>
        <v>37</v>
      </c>
      <c r="W13" s="6">
        <f t="shared" ref="W13:W18" si="36">AE4</f>
        <v>51</v>
      </c>
      <c r="X13" s="6">
        <f t="shared" ref="X13:X18" si="37">AF4</f>
        <v>15</v>
      </c>
      <c r="Z13" s="6">
        <v>1057</v>
      </c>
      <c r="AA13" s="6">
        <v>500.33333333333331</v>
      </c>
      <c r="AB13" s="6">
        <v>769.88888888888891</v>
      </c>
      <c r="AC13" s="6">
        <v>1901</v>
      </c>
      <c r="AD13" s="6">
        <v>1901</v>
      </c>
      <c r="AE13" s="6">
        <v>3231</v>
      </c>
      <c r="AF13" s="6">
        <v>861.66666666666663</v>
      </c>
      <c r="AG13" s="6">
        <f t="shared" ref="AG13:AG18" si="38">SUM(Z13:AF13)</f>
        <v>10221.888888888889</v>
      </c>
      <c r="AH13" s="7">
        <f t="shared" ref="AH13:AH18" si="39">AG13/$AG$19</f>
        <v>0.31382310791280743</v>
      </c>
    </row>
    <row r="14" spans="1:48">
      <c r="J14" s="5">
        <f t="shared" si="24"/>
        <v>11</v>
      </c>
      <c r="K14" s="5">
        <f t="shared" si="25"/>
        <v>4.9999999999999991</v>
      </c>
      <c r="L14" s="5">
        <f t="shared" si="26"/>
        <v>7</v>
      </c>
      <c r="M14" s="5">
        <f t="shared" si="27"/>
        <v>23</v>
      </c>
      <c r="N14" s="5">
        <f t="shared" si="28"/>
        <v>23</v>
      </c>
      <c r="O14" s="5">
        <f t="shared" si="29"/>
        <v>37</v>
      </c>
      <c r="P14" s="5">
        <f t="shared" si="30"/>
        <v>9</v>
      </c>
      <c r="R14" s="6">
        <f t="shared" si="31"/>
        <v>11</v>
      </c>
      <c r="S14" s="6">
        <f t="shared" si="32"/>
        <v>4.9999999999999991</v>
      </c>
      <c r="T14" s="6">
        <f t="shared" si="33"/>
        <v>7</v>
      </c>
      <c r="U14" s="6">
        <f t="shared" si="34"/>
        <v>23</v>
      </c>
      <c r="V14" s="6">
        <f t="shared" si="35"/>
        <v>23</v>
      </c>
      <c r="W14" s="6">
        <f t="shared" si="36"/>
        <v>37</v>
      </c>
      <c r="X14" s="6">
        <f t="shared" si="37"/>
        <v>9</v>
      </c>
      <c r="Z14" s="6">
        <v>658.55555555555543</v>
      </c>
      <c r="AA14" s="6">
        <v>306.77777777777777</v>
      </c>
      <c r="AB14" s="6">
        <v>478.11111111111109</v>
      </c>
      <c r="AC14" s="6">
        <v>1171</v>
      </c>
      <c r="AD14" s="6">
        <v>1171</v>
      </c>
      <c r="AE14" s="6">
        <v>1969</v>
      </c>
      <c r="AF14" s="6">
        <v>533.88888888888891</v>
      </c>
      <c r="AG14" s="6">
        <f t="shared" si="38"/>
        <v>6288.333333333333</v>
      </c>
      <c r="AH14" s="7">
        <f t="shared" si="39"/>
        <v>0.19305867356897874</v>
      </c>
    </row>
    <row r="15" spans="1:48">
      <c r="J15" s="5">
        <f t="shared" si="24"/>
        <v>4.333333333333333</v>
      </c>
      <c r="K15" s="5">
        <f t="shared" si="25"/>
        <v>2.3333333333333335</v>
      </c>
      <c r="L15" s="5">
        <f t="shared" si="26"/>
        <v>3.4444444444444446</v>
      </c>
      <c r="M15" s="5">
        <f t="shared" si="27"/>
        <v>7</v>
      </c>
      <c r="N15" s="5">
        <f t="shared" si="28"/>
        <v>7</v>
      </c>
      <c r="O15" s="5">
        <f t="shared" si="29"/>
        <v>13</v>
      </c>
      <c r="P15" s="5">
        <f t="shared" si="30"/>
        <v>3.6666666666666665</v>
      </c>
      <c r="R15" s="6">
        <f t="shared" si="31"/>
        <v>4.333333333333333</v>
      </c>
      <c r="S15" s="6">
        <f t="shared" si="32"/>
        <v>2.3333333333333335</v>
      </c>
      <c r="T15" s="6">
        <f t="shared" si="33"/>
        <v>3.4444444444444446</v>
      </c>
      <c r="U15" s="6">
        <f t="shared" si="34"/>
        <v>7</v>
      </c>
      <c r="V15" s="6">
        <f t="shared" si="35"/>
        <v>7</v>
      </c>
      <c r="W15" s="6">
        <f t="shared" si="36"/>
        <v>13</v>
      </c>
      <c r="X15" s="6">
        <f t="shared" si="37"/>
        <v>3.6666666666666665</v>
      </c>
      <c r="Z15" s="6">
        <v>252.7777777777778</v>
      </c>
      <c r="AA15" s="6">
        <v>115.81481481481481</v>
      </c>
      <c r="AB15" s="6">
        <v>180.7777777777778</v>
      </c>
      <c r="AC15" s="6">
        <v>455.88888888888886</v>
      </c>
      <c r="AD15" s="6">
        <v>455.88888888888886</v>
      </c>
      <c r="AE15" s="6">
        <v>758.77777777777771</v>
      </c>
      <c r="AF15" s="6">
        <v>203.66666666666666</v>
      </c>
      <c r="AG15" s="6">
        <f t="shared" si="38"/>
        <v>2423.5925925925926</v>
      </c>
      <c r="AH15" s="7">
        <f t="shared" si="39"/>
        <v>7.4406928894385618E-2</v>
      </c>
    </row>
    <row r="16" spans="1:48">
      <c r="J16" s="5">
        <f t="shared" si="24"/>
        <v>4.333333333333333</v>
      </c>
      <c r="K16" s="5">
        <f t="shared" si="25"/>
        <v>2.3333333333333335</v>
      </c>
      <c r="L16" s="5">
        <f t="shared" si="26"/>
        <v>3.4444444444444446</v>
      </c>
      <c r="M16" s="5">
        <f t="shared" si="27"/>
        <v>7</v>
      </c>
      <c r="N16" s="5">
        <f t="shared" si="28"/>
        <v>7</v>
      </c>
      <c r="O16" s="5">
        <f t="shared" si="29"/>
        <v>13</v>
      </c>
      <c r="P16" s="5">
        <f t="shared" si="30"/>
        <v>3.6666666666666665</v>
      </c>
      <c r="R16" s="6">
        <f t="shared" si="31"/>
        <v>4.333333333333333</v>
      </c>
      <c r="S16" s="6">
        <f t="shared" si="32"/>
        <v>2.3333333333333335</v>
      </c>
      <c r="T16" s="6">
        <f t="shared" si="33"/>
        <v>3.4444444444444446</v>
      </c>
      <c r="U16" s="6">
        <f t="shared" si="34"/>
        <v>7</v>
      </c>
      <c r="V16" s="6">
        <f t="shared" si="35"/>
        <v>7</v>
      </c>
      <c r="W16" s="6">
        <f t="shared" si="36"/>
        <v>13</v>
      </c>
      <c r="X16" s="6">
        <f t="shared" si="37"/>
        <v>3.6666666666666665</v>
      </c>
      <c r="Z16" s="6">
        <v>252.7777777777778</v>
      </c>
      <c r="AA16" s="6">
        <v>115.81481481481481</v>
      </c>
      <c r="AB16" s="6">
        <v>180.7777777777778</v>
      </c>
      <c r="AC16" s="6">
        <v>455.88888888888886</v>
      </c>
      <c r="AD16" s="6">
        <v>455.88888888888886</v>
      </c>
      <c r="AE16" s="6">
        <v>758.77777777777771</v>
      </c>
      <c r="AF16" s="6">
        <v>203.66666666666666</v>
      </c>
      <c r="AG16" s="6">
        <f t="shared" si="38"/>
        <v>2423.5925925925926</v>
      </c>
      <c r="AH16" s="7">
        <f t="shared" si="39"/>
        <v>7.4406928894385618E-2</v>
      </c>
    </row>
    <row r="17" spans="10:34">
      <c r="J17" s="5">
        <f t="shared" si="24"/>
        <v>3.2222222222222223</v>
      </c>
      <c r="K17" s="5">
        <f t="shared" si="25"/>
        <v>1.2222222222222223</v>
      </c>
      <c r="L17" s="5">
        <f t="shared" si="26"/>
        <v>2.3333333333333335</v>
      </c>
      <c r="M17" s="5">
        <f t="shared" si="27"/>
        <v>5</v>
      </c>
      <c r="N17" s="5">
        <f t="shared" si="28"/>
        <v>5</v>
      </c>
      <c r="O17" s="5">
        <f t="shared" si="29"/>
        <v>7</v>
      </c>
      <c r="P17" s="5">
        <f t="shared" si="30"/>
        <v>2.5555555555555558</v>
      </c>
      <c r="R17" s="6">
        <f t="shared" si="31"/>
        <v>3.2222222222222223</v>
      </c>
      <c r="S17" s="6">
        <f t="shared" si="32"/>
        <v>1.2222222222222223</v>
      </c>
      <c r="T17" s="6">
        <f t="shared" si="33"/>
        <v>2.3333333333333335</v>
      </c>
      <c r="U17" s="6">
        <f t="shared" si="34"/>
        <v>5</v>
      </c>
      <c r="V17" s="6">
        <f t="shared" si="35"/>
        <v>5</v>
      </c>
      <c r="W17" s="6">
        <f t="shared" si="36"/>
        <v>7</v>
      </c>
      <c r="X17" s="6">
        <f t="shared" si="37"/>
        <v>2.5555555555555558</v>
      </c>
      <c r="Z17" s="6">
        <v>162.77777777777777</v>
      </c>
      <c r="AA17" s="6">
        <v>76.432098765432102</v>
      </c>
      <c r="AB17" s="6">
        <v>117.44444444444446</v>
      </c>
      <c r="AC17" s="6">
        <v>295.66666666666669</v>
      </c>
      <c r="AD17" s="6">
        <v>295.66666666666669</v>
      </c>
      <c r="AE17" s="6">
        <v>500.33333333333331</v>
      </c>
      <c r="AF17" s="6">
        <v>132.18518518518519</v>
      </c>
      <c r="AG17" s="6">
        <f t="shared" si="38"/>
        <v>1580.5061728395062</v>
      </c>
      <c r="AH17" s="7">
        <f t="shared" si="39"/>
        <v>4.8523258727163232E-2</v>
      </c>
    </row>
    <row r="18" spans="10:34">
      <c r="J18" s="5">
        <f t="shared" si="24"/>
        <v>9</v>
      </c>
      <c r="K18" s="5">
        <f t="shared" si="25"/>
        <v>4.333333333333333</v>
      </c>
      <c r="L18" s="5">
        <f t="shared" si="26"/>
        <v>6.333333333333333</v>
      </c>
      <c r="M18" s="5">
        <f t="shared" si="27"/>
        <v>17</v>
      </c>
      <c r="N18" s="5">
        <f t="shared" si="28"/>
        <v>17</v>
      </c>
      <c r="O18" s="5">
        <f t="shared" si="29"/>
        <v>31</v>
      </c>
      <c r="P18" s="5">
        <f t="shared" si="30"/>
        <v>7</v>
      </c>
      <c r="R18" s="6">
        <f t="shared" si="31"/>
        <v>9</v>
      </c>
      <c r="S18" s="6">
        <f t="shared" si="32"/>
        <v>4.333333333333333</v>
      </c>
      <c r="T18" s="6">
        <f t="shared" si="33"/>
        <v>6.333333333333333</v>
      </c>
      <c r="U18" s="6">
        <f t="shared" si="34"/>
        <v>17</v>
      </c>
      <c r="V18" s="6">
        <f t="shared" si="35"/>
        <v>17</v>
      </c>
      <c r="W18" s="6">
        <f t="shared" si="36"/>
        <v>31</v>
      </c>
      <c r="X18" s="6">
        <f t="shared" si="37"/>
        <v>7</v>
      </c>
      <c r="Z18" s="6">
        <v>533.88888888888891</v>
      </c>
      <c r="AA18" s="6">
        <v>246.55555555555554</v>
      </c>
      <c r="AB18" s="6">
        <v>385.4444444444444</v>
      </c>
      <c r="AC18" s="6">
        <v>953</v>
      </c>
      <c r="AD18" s="6">
        <v>953</v>
      </c>
      <c r="AE18" s="6">
        <v>1592.3333333333333</v>
      </c>
      <c r="AF18" s="6">
        <v>431.88888888888886</v>
      </c>
      <c r="AG18" s="6">
        <f t="shared" si="38"/>
        <v>5096.1111111111104</v>
      </c>
      <c r="AH18" s="7">
        <f t="shared" si="39"/>
        <v>0.15645615448787364</v>
      </c>
    </row>
    <row r="19" spans="10:34">
      <c r="AG19" s="6">
        <f>SUM(AG12:AG18)</f>
        <v>32572.135802469129</v>
      </c>
    </row>
    <row r="21" spans="10:34">
      <c r="J21" s="5">
        <f>Z12</f>
        <v>478.11111111111109</v>
      </c>
      <c r="K21" s="5">
        <f t="shared" ref="K21:P21" si="40">AA12</f>
        <v>218.77777777777777</v>
      </c>
      <c r="L21" s="5">
        <f t="shared" si="40"/>
        <v>343.88888888888891</v>
      </c>
      <c r="M21" s="5">
        <f t="shared" si="40"/>
        <v>850.11111111111097</v>
      </c>
      <c r="N21" s="5">
        <f t="shared" si="40"/>
        <v>850.11111111111097</v>
      </c>
      <c r="O21" s="5">
        <f t="shared" si="40"/>
        <v>1411.6666666666665</v>
      </c>
      <c r="P21" s="5">
        <f t="shared" si="40"/>
        <v>385.4444444444444</v>
      </c>
      <c r="R21" s="6">
        <f>Z12</f>
        <v>478.11111111111109</v>
      </c>
      <c r="S21" s="6">
        <f t="shared" ref="S21:X21" si="41">AA12</f>
        <v>218.77777777777777</v>
      </c>
      <c r="T21" s="6">
        <f t="shared" si="41"/>
        <v>343.88888888888891</v>
      </c>
      <c r="U21" s="6">
        <f t="shared" si="41"/>
        <v>850.11111111111097</v>
      </c>
      <c r="V21" s="6">
        <f t="shared" si="41"/>
        <v>850.11111111111097</v>
      </c>
      <c r="W21" s="6">
        <f t="shared" si="41"/>
        <v>1411.6666666666665</v>
      </c>
      <c r="X21" s="6">
        <f t="shared" si="41"/>
        <v>385.4444444444444</v>
      </c>
      <c r="Z21" s="6">
        <f t="array" ref="Z21:AF27">MMULT(J21:P27,R21:X27)</f>
        <v>1551659.1481481481</v>
      </c>
      <c r="AA21" s="6">
        <v>719400.4074074073</v>
      </c>
      <c r="AB21" s="6">
        <v>1118990.9999999998</v>
      </c>
      <c r="AC21" s="6">
        <v>2784861.7654320984</v>
      </c>
      <c r="AD21" s="6">
        <v>2784861.7654320984</v>
      </c>
      <c r="AE21" s="6">
        <v>4669072.5061728396</v>
      </c>
      <c r="AF21" s="6">
        <v>1255746.4320987654</v>
      </c>
      <c r="AG21" s="6">
        <f>SUM(Z21:AF21)</f>
        <v>14884593.024691356</v>
      </c>
      <c r="AH21" s="7">
        <f>AG21/$AG$28</f>
        <v>0.13952754414536686</v>
      </c>
    </row>
    <row r="22" spans="10:34">
      <c r="J22" s="5">
        <f t="shared" ref="J22:J27" si="42">Z13</f>
        <v>1057</v>
      </c>
      <c r="K22" s="5">
        <f t="shared" ref="K22:K27" si="43">AA13</f>
        <v>500.33333333333331</v>
      </c>
      <c r="L22" s="5">
        <f t="shared" ref="L22:L27" si="44">AB13</f>
        <v>769.88888888888891</v>
      </c>
      <c r="M22" s="5">
        <f t="shared" ref="M22:M27" si="45">AC13</f>
        <v>1901</v>
      </c>
      <c r="N22" s="5">
        <f t="shared" ref="N22:N27" si="46">AD13</f>
        <v>1901</v>
      </c>
      <c r="O22" s="5">
        <f t="shared" ref="O22:O27" si="47">AE13</f>
        <v>3231</v>
      </c>
      <c r="P22" s="5">
        <f t="shared" ref="P22:P27" si="48">AF13</f>
        <v>861.66666666666663</v>
      </c>
      <c r="R22" s="6">
        <f t="shared" ref="R22:R27" si="49">Z13</f>
        <v>1057</v>
      </c>
      <c r="S22" s="6">
        <f t="shared" ref="S22:S27" si="50">AA13</f>
        <v>500.33333333333331</v>
      </c>
      <c r="T22" s="6">
        <f t="shared" ref="T22:T27" si="51">AB13</f>
        <v>769.88888888888891</v>
      </c>
      <c r="U22" s="6">
        <f t="shared" ref="U22:U27" si="52">AC13</f>
        <v>1901</v>
      </c>
      <c r="V22" s="6">
        <f t="shared" ref="V22:V27" si="53">AD13</f>
        <v>1901</v>
      </c>
      <c r="W22" s="6">
        <f t="shared" ref="W22:W27" si="54">AE13</f>
        <v>3231</v>
      </c>
      <c r="X22" s="6">
        <f t="shared" ref="X22:X27" si="55">AF13</f>
        <v>861.66666666666663</v>
      </c>
      <c r="Z22" s="6">
        <v>3488260.7530864198</v>
      </c>
      <c r="AA22" s="6">
        <v>1617495.0987654321</v>
      </c>
      <c r="AB22" s="6">
        <v>2515688.8024691357</v>
      </c>
      <c r="AC22" s="6">
        <v>6260997.888888889</v>
      </c>
      <c r="AD22" s="6">
        <v>6260997.888888889</v>
      </c>
      <c r="AE22" s="6">
        <v>10498130.555555556</v>
      </c>
      <c r="AF22" s="6">
        <v>2823145.7160493825</v>
      </c>
      <c r="AG22" s="6">
        <f t="shared" ref="AG22:AG27" si="56">SUM(Z22:AF22)</f>
        <v>33464716.703703701</v>
      </c>
      <c r="AH22" s="7">
        <f t="shared" ref="AH22:AH27" si="57">AG22/$AG$28</f>
        <v>0.31369683601309173</v>
      </c>
    </row>
    <row r="23" spans="10:34">
      <c r="J23" s="5">
        <f t="shared" si="42"/>
        <v>658.55555555555543</v>
      </c>
      <c r="K23" s="5">
        <f t="shared" si="43"/>
        <v>306.77777777777777</v>
      </c>
      <c r="L23" s="5">
        <f t="shared" si="44"/>
        <v>478.11111111111109</v>
      </c>
      <c r="M23" s="5">
        <f t="shared" si="45"/>
        <v>1171</v>
      </c>
      <c r="N23" s="5">
        <f t="shared" si="46"/>
        <v>1171</v>
      </c>
      <c r="O23" s="5">
        <f t="shared" si="47"/>
        <v>1969</v>
      </c>
      <c r="P23" s="5">
        <f t="shared" si="48"/>
        <v>533.88888888888891</v>
      </c>
      <c r="R23" s="6">
        <f t="shared" si="49"/>
        <v>658.55555555555543</v>
      </c>
      <c r="S23" s="6">
        <f t="shared" si="50"/>
        <v>306.77777777777777</v>
      </c>
      <c r="T23" s="6">
        <f t="shared" si="51"/>
        <v>478.11111111111109</v>
      </c>
      <c r="U23" s="6">
        <f t="shared" si="52"/>
        <v>1171</v>
      </c>
      <c r="V23" s="6">
        <f t="shared" si="53"/>
        <v>1171</v>
      </c>
      <c r="W23" s="6">
        <f t="shared" si="54"/>
        <v>1969</v>
      </c>
      <c r="X23" s="6">
        <f t="shared" si="55"/>
        <v>533.88888888888891</v>
      </c>
      <c r="Z23" s="6">
        <v>2151541.9135802467</v>
      </c>
      <c r="AA23" s="6">
        <v>997608.70370370382</v>
      </c>
      <c r="AB23" s="6">
        <v>1551659.1481481483</v>
      </c>
      <c r="AC23" s="6">
        <v>3861553.6172839506</v>
      </c>
      <c r="AD23" s="6">
        <v>3861553.6172839506</v>
      </c>
      <c r="AE23" s="6">
        <v>6474603.666666666</v>
      </c>
      <c r="AF23" s="6">
        <v>1741275.6172839503</v>
      </c>
      <c r="AG23" s="6">
        <f t="shared" si="56"/>
        <v>20639796.283950616</v>
      </c>
      <c r="AH23" s="7">
        <f t="shared" si="57"/>
        <v>0.19347657556932185</v>
      </c>
    </row>
    <row r="24" spans="10:34">
      <c r="J24" s="5">
        <f t="shared" si="42"/>
        <v>252.7777777777778</v>
      </c>
      <c r="K24" s="5">
        <f t="shared" si="43"/>
        <v>115.81481481481481</v>
      </c>
      <c r="L24" s="5">
        <f t="shared" si="44"/>
        <v>180.7777777777778</v>
      </c>
      <c r="M24" s="5">
        <f t="shared" si="45"/>
        <v>455.88888888888886</v>
      </c>
      <c r="N24" s="5">
        <f t="shared" si="46"/>
        <v>455.88888888888886</v>
      </c>
      <c r="O24" s="5">
        <f t="shared" si="47"/>
        <v>758.77777777777771</v>
      </c>
      <c r="P24" s="5">
        <f t="shared" si="48"/>
        <v>203.66666666666666</v>
      </c>
      <c r="R24" s="6">
        <f t="shared" si="49"/>
        <v>252.7777777777778</v>
      </c>
      <c r="S24" s="6">
        <f t="shared" si="50"/>
        <v>115.81481481481481</v>
      </c>
      <c r="T24" s="6">
        <f t="shared" si="51"/>
        <v>180.7777777777778</v>
      </c>
      <c r="U24" s="6">
        <f t="shared" si="52"/>
        <v>455.88888888888886</v>
      </c>
      <c r="V24" s="6">
        <f t="shared" si="53"/>
        <v>455.88888888888886</v>
      </c>
      <c r="W24" s="6">
        <f t="shared" si="54"/>
        <v>758.77777777777771</v>
      </c>
      <c r="X24" s="6">
        <f t="shared" si="55"/>
        <v>203.66666666666666</v>
      </c>
      <c r="Z24" s="6">
        <v>825049.02469135798</v>
      </c>
      <c r="AA24" s="6">
        <v>382514.27846364881</v>
      </c>
      <c r="AB24" s="6">
        <v>594969.45267489715</v>
      </c>
      <c r="AC24" s="6">
        <v>1480852.9259259256</v>
      </c>
      <c r="AD24" s="6">
        <v>1480852.9259259256</v>
      </c>
      <c r="AE24" s="6">
        <v>2482770.8271604935</v>
      </c>
      <c r="AF24" s="6">
        <v>667700.09465020569</v>
      </c>
      <c r="AG24" s="6">
        <f t="shared" si="56"/>
        <v>7914709.5294924546</v>
      </c>
      <c r="AH24" s="7">
        <f t="shared" si="57"/>
        <v>7.4192151672679882E-2</v>
      </c>
    </row>
    <row r="25" spans="10:34">
      <c r="J25" s="5">
        <f t="shared" si="42"/>
        <v>252.7777777777778</v>
      </c>
      <c r="K25" s="5">
        <f t="shared" si="43"/>
        <v>115.81481481481481</v>
      </c>
      <c r="L25" s="5">
        <f t="shared" si="44"/>
        <v>180.7777777777778</v>
      </c>
      <c r="M25" s="5">
        <f t="shared" si="45"/>
        <v>455.88888888888886</v>
      </c>
      <c r="N25" s="5">
        <f t="shared" si="46"/>
        <v>455.88888888888886</v>
      </c>
      <c r="O25" s="5">
        <f t="shared" si="47"/>
        <v>758.77777777777771</v>
      </c>
      <c r="P25" s="5">
        <f t="shared" si="48"/>
        <v>203.66666666666666</v>
      </c>
      <c r="R25" s="6">
        <f t="shared" si="49"/>
        <v>252.7777777777778</v>
      </c>
      <c r="S25" s="6">
        <f t="shared" si="50"/>
        <v>115.81481481481481</v>
      </c>
      <c r="T25" s="6">
        <f t="shared" si="51"/>
        <v>180.7777777777778</v>
      </c>
      <c r="U25" s="6">
        <f t="shared" si="52"/>
        <v>455.88888888888886</v>
      </c>
      <c r="V25" s="6">
        <f t="shared" si="53"/>
        <v>455.88888888888886</v>
      </c>
      <c r="W25" s="6">
        <f t="shared" si="54"/>
        <v>758.77777777777771</v>
      </c>
      <c r="X25" s="6">
        <f t="shared" si="55"/>
        <v>203.66666666666666</v>
      </c>
      <c r="Z25" s="6">
        <v>825049.02469135798</v>
      </c>
      <c r="AA25" s="6">
        <v>382514.27846364881</v>
      </c>
      <c r="AB25" s="6">
        <v>594969.45267489715</v>
      </c>
      <c r="AC25" s="6">
        <v>1480852.9259259256</v>
      </c>
      <c r="AD25" s="6">
        <v>1480852.9259259256</v>
      </c>
      <c r="AE25" s="6">
        <v>2482770.8271604935</v>
      </c>
      <c r="AF25" s="6">
        <v>667700.09465020569</v>
      </c>
      <c r="AG25" s="6">
        <f t="shared" si="56"/>
        <v>7914709.5294924546</v>
      </c>
      <c r="AH25" s="7">
        <f t="shared" si="57"/>
        <v>7.4192151672679882E-2</v>
      </c>
    </row>
    <row r="26" spans="10:34">
      <c r="J26" s="5">
        <f t="shared" si="42"/>
        <v>162.77777777777777</v>
      </c>
      <c r="K26" s="5">
        <f t="shared" si="43"/>
        <v>76.432098765432102</v>
      </c>
      <c r="L26" s="5">
        <f t="shared" si="44"/>
        <v>117.44444444444446</v>
      </c>
      <c r="M26" s="5">
        <f t="shared" si="45"/>
        <v>295.66666666666669</v>
      </c>
      <c r="N26" s="5">
        <f t="shared" si="46"/>
        <v>295.66666666666669</v>
      </c>
      <c r="O26" s="5">
        <f t="shared" si="47"/>
        <v>500.33333333333331</v>
      </c>
      <c r="P26" s="5">
        <f t="shared" si="48"/>
        <v>132.18518518518519</v>
      </c>
      <c r="R26" s="6">
        <f t="shared" si="49"/>
        <v>162.77777777777777</v>
      </c>
      <c r="S26" s="6">
        <f t="shared" si="50"/>
        <v>76.432098765432102</v>
      </c>
      <c r="T26" s="6">
        <f t="shared" si="51"/>
        <v>117.44444444444446</v>
      </c>
      <c r="U26" s="6">
        <f t="shared" si="52"/>
        <v>295.66666666666669</v>
      </c>
      <c r="V26" s="6">
        <f t="shared" si="53"/>
        <v>295.66666666666669</v>
      </c>
      <c r="W26" s="6">
        <f t="shared" si="54"/>
        <v>500.33333333333331</v>
      </c>
      <c r="X26" s="6">
        <f t="shared" si="55"/>
        <v>132.18518518518519</v>
      </c>
      <c r="Z26" s="6">
        <v>537449.55967078195</v>
      </c>
      <c r="AA26" s="6">
        <v>249200.7119341564</v>
      </c>
      <c r="AB26" s="6">
        <v>387584.52812071331</v>
      </c>
      <c r="AC26" s="6">
        <v>964690.72839506157</v>
      </c>
      <c r="AD26" s="6">
        <v>964690.72839506157</v>
      </c>
      <c r="AE26" s="6">
        <v>1617495.0987654321</v>
      </c>
      <c r="AF26" s="6">
        <v>434963.92181069963</v>
      </c>
      <c r="AG26" s="6">
        <f t="shared" si="56"/>
        <v>5156075.2770919064</v>
      </c>
      <c r="AH26" s="7">
        <f t="shared" si="57"/>
        <v>4.8332831112538478E-2</v>
      </c>
    </row>
    <row r="27" spans="10:34">
      <c r="J27" s="5">
        <f t="shared" si="42"/>
        <v>533.88888888888891</v>
      </c>
      <c r="K27" s="5">
        <f t="shared" si="43"/>
        <v>246.55555555555554</v>
      </c>
      <c r="L27" s="5">
        <f t="shared" si="44"/>
        <v>385.4444444444444</v>
      </c>
      <c r="M27" s="5">
        <f t="shared" si="45"/>
        <v>953</v>
      </c>
      <c r="N27" s="5">
        <f t="shared" si="46"/>
        <v>953</v>
      </c>
      <c r="O27" s="5">
        <f t="shared" si="47"/>
        <v>1592.3333333333333</v>
      </c>
      <c r="P27" s="5">
        <f t="shared" si="48"/>
        <v>431.88888888888886</v>
      </c>
      <c r="R27" s="6">
        <f t="shared" si="49"/>
        <v>533.88888888888891</v>
      </c>
      <c r="S27" s="6">
        <f t="shared" si="50"/>
        <v>246.55555555555554</v>
      </c>
      <c r="T27" s="6">
        <f t="shared" si="51"/>
        <v>385.4444444444444</v>
      </c>
      <c r="U27" s="6">
        <f t="shared" si="52"/>
        <v>953</v>
      </c>
      <c r="V27" s="6">
        <f t="shared" si="53"/>
        <v>953</v>
      </c>
      <c r="W27" s="6">
        <f t="shared" si="54"/>
        <v>1592.3333333333333</v>
      </c>
      <c r="X27" s="6">
        <f t="shared" si="55"/>
        <v>431.88888888888886</v>
      </c>
      <c r="Z27" s="6">
        <v>1741275.6172839506</v>
      </c>
      <c r="AA27" s="6">
        <v>807341.7983539094</v>
      </c>
      <c r="AB27" s="6">
        <v>1255746.4320987654</v>
      </c>
      <c r="AC27" s="6">
        <v>3125236.6543209874</v>
      </c>
      <c r="AD27" s="6">
        <v>3125236.6543209874</v>
      </c>
      <c r="AE27" s="6">
        <v>5239873.2222222211</v>
      </c>
      <c r="AF27" s="6">
        <v>1409217.271604938</v>
      </c>
      <c r="AG27" s="6">
        <f t="shared" si="56"/>
        <v>16703927.650205759</v>
      </c>
      <c r="AH27" s="7">
        <f t="shared" si="57"/>
        <v>0.15658190981432132</v>
      </c>
    </row>
    <row r="28" spans="10:34">
      <c r="AG28" s="6">
        <f>SUM(AG21:AG27)</f>
        <v>106678527.99862824</v>
      </c>
    </row>
    <row r="29" spans="10:34">
      <c r="AG29" s="6"/>
    </row>
    <row r="30" spans="10:34">
      <c r="J30" s="5">
        <f>Z21</f>
        <v>1551659.1481481481</v>
      </c>
      <c r="K30" s="5">
        <f t="shared" ref="K30:P30" si="58">AA21</f>
        <v>719400.4074074073</v>
      </c>
      <c r="L30" s="5">
        <f t="shared" si="58"/>
        <v>1118990.9999999998</v>
      </c>
      <c r="M30" s="5">
        <f t="shared" si="58"/>
        <v>2784861.7654320984</v>
      </c>
      <c r="N30" s="5">
        <f t="shared" si="58"/>
        <v>2784861.7654320984</v>
      </c>
      <c r="O30" s="5">
        <f t="shared" si="58"/>
        <v>4669072.5061728396</v>
      </c>
      <c r="P30" s="5">
        <f t="shared" si="58"/>
        <v>1255746.4320987654</v>
      </c>
      <c r="R30" s="6">
        <f>Z21</f>
        <v>1551659.1481481481</v>
      </c>
      <c r="S30" s="6">
        <f t="shared" ref="S30:X30" si="59">AA21</f>
        <v>719400.4074074073</v>
      </c>
      <c r="T30" s="6">
        <f t="shared" si="59"/>
        <v>1118990.9999999998</v>
      </c>
      <c r="U30" s="6">
        <f t="shared" si="59"/>
        <v>2784861.7654320984</v>
      </c>
      <c r="V30" s="6">
        <f t="shared" si="59"/>
        <v>2784861.7654320984</v>
      </c>
      <c r="W30" s="6">
        <f t="shared" si="59"/>
        <v>4669072.5061728396</v>
      </c>
      <c r="X30" s="6">
        <f t="shared" si="59"/>
        <v>1255746.4320987654</v>
      </c>
      <c r="Z30" s="6">
        <f t="array" ref="Z30:AF36">MMULT(J30:P36,R30:X36)</f>
        <v>16615944929523.006</v>
      </c>
      <c r="AA30" s="6">
        <v>7704057570360.7725</v>
      </c>
      <c r="AB30" s="6">
        <v>11982747519601.379</v>
      </c>
      <c r="AC30" s="6">
        <v>29823021532778.301</v>
      </c>
      <c r="AD30" s="6">
        <v>29823021532778.301</v>
      </c>
      <c r="AE30" s="6">
        <v>50002692793569.289</v>
      </c>
      <c r="AF30" s="6">
        <v>13447336939783.844</v>
      </c>
      <c r="AG30" s="6">
        <f>SUM(Z30:AF30)</f>
        <v>159398822818394.87</v>
      </c>
      <c r="AH30" s="7">
        <f>AG30/$AG$37</f>
        <v>0.13952874663691719</v>
      </c>
    </row>
    <row r="31" spans="10:34">
      <c r="J31" s="5">
        <f t="shared" ref="J31:J36" si="60">Z22</f>
        <v>3488260.7530864198</v>
      </c>
      <c r="K31" s="5">
        <f t="shared" ref="K31:K36" si="61">AA22</f>
        <v>1617495.0987654321</v>
      </c>
      <c r="L31" s="5">
        <f t="shared" ref="L31:L36" si="62">AB22</f>
        <v>2515688.8024691357</v>
      </c>
      <c r="M31" s="5">
        <f t="shared" ref="M31:M36" si="63">AC22</f>
        <v>6260997.888888889</v>
      </c>
      <c r="N31" s="5">
        <f t="shared" ref="N31:N36" si="64">AD22</f>
        <v>6260997.888888889</v>
      </c>
      <c r="O31" s="5">
        <f t="shared" ref="O31:O36" si="65">AE22</f>
        <v>10498130.555555556</v>
      </c>
      <c r="P31" s="5">
        <f t="shared" ref="P31:P36" si="66">AF22</f>
        <v>2823145.7160493825</v>
      </c>
      <c r="R31" s="6">
        <f t="shared" ref="R31:R36" si="67">Z22</f>
        <v>3488260.7530864198</v>
      </c>
      <c r="S31" s="6">
        <f t="shared" ref="S31:S36" si="68">AA22</f>
        <v>1617495.0987654321</v>
      </c>
      <c r="T31" s="6">
        <f t="shared" ref="T31:T36" si="69">AB22</f>
        <v>2515688.8024691357</v>
      </c>
      <c r="U31" s="6">
        <f t="shared" ref="U31:U36" si="70">AC22</f>
        <v>6260997.888888889</v>
      </c>
      <c r="V31" s="6">
        <f t="shared" ref="V31:V36" si="71">AD22</f>
        <v>6260997.888888889</v>
      </c>
      <c r="W31" s="6">
        <f t="shared" ref="W31:W36" si="72">AE22</f>
        <v>10498130.555555556</v>
      </c>
      <c r="X31" s="6">
        <f t="shared" ref="X31:X36" si="73">AF22</f>
        <v>2823145.7160493825</v>
      </c>
      <c r="Z31" s="6">
        <v>37356797127513.633</v>
      </c>
      <c r="AA31" s="6">
        <v>17320646974291.125</v>
      </c>
      <c r="AB31" s="6">
        <v>26940211352665.309</v>
      </c>
      <c r="AC31" s="6">
        <v>67049606363588.125</v>
      </c>
      <c r="AD31" s="6">
        <v>67049606363588.125</v>
      </c>
      <c r="AE31" s="6">
        <v>112418551215730.05</v>
      </c>
      <c r="AF31" s="6">
        <v>30232974433613.855</v>
      </c>
      <c r="AG31" s="6">
        <f t="shared" ref="AG31:AG36" si="74">SUM(Z31:AF31)</f>
        <v>358368393830990.25</v>
      </c>
      <c r="AH31" s="7">
        <f t="shared" ref="AH31:AH36" si="75">AG31/$AG$37</f>
        <v>0.31369549624900245</v>
      </c>
    </row>
    <row r="32" spans="10:34">
      <c r="J32" s="5">
        <f t="shared" si="60"/>
        <v>2151541.9135802467</v>
      </c>
      <c r="K32" s="5">
        <f t="shared" si="61"/>
        <v>997608.70370370382</v>
      </c>
      <c r="L32" s="5">
        <f t="shared" si="62"/>
        <v>1551659.1481481483</v>
      </c>
      <c r="M32" s="5">
        <f t="shared" si="63"/>
        <v>3861553.6172839506</v>
      </c>
      <c r="N32" s="5">
        <f t="shared" si="64"/>
        <v>3861553.6172839506</v>
      </c>
      <c r="O32" s="5">
        <f t="shared" si="65"/>
        <v>6474603.666666666</v>
      </c>
      <c r="P32" s="5">
        <f t="shared" si="66"/>
        <v>1741275.6172839503</v>
      </c>
      <c r="R32" s="6">
        <f t="shared" si="67"/>
        <v>2151541.9135802467</v>
      </c>
      <c r="S32" s="6">
        <f t="shared" si="68"/>
        <v>997608.70370370382</v>
      </c>
      <c r="T32" s="6">
        <f t="shared" si="69"/>
        <v>1551659.1481481483</v>
      </c>
      <c r="U32" s="6">
        <f t="shared" si="70"/>
        <v>3861553.6172839506</v>
      </c>
      <c r="V32" s="6">
        <f t="shared" si="71"/>
        <v>3861553.6172839506</v>
      </c>
      <c r="W32" s="6">
        <f t="shared" si="72"/>
        <v>6474603.666666666</v>
      </c>
      <c r="X32" s="6">
        <f t="shared" si="73"/>
        <v>1741275.6172839503</v>
      </c>
      <c r="Z32" s="6">
        <v>23040594430236.422</v>
      </c>
      <c r="AA32" s="6">
        <v>10682875212125.084</v>
      </c>
      <c r="AB32" s="6">
        <v>16615944929523.008</v>
      </c>
      <c r="AC32" s="6">
        <v>41354262253230.297</v>
      </c>
      <c r="AD32" s="6">
        <v>41354262253230.297</v>
      </c>
      <c r="AE32" s="6">
        <v>69336518133246.937</v>
      </c>
      <c r="AF32" s="6">
        <v>18646826169689.027</v>
      </c>
      <c r="AG32" s="6">
        <f t="shared" si="74"/>
        <v>221031283381281.09</v>
      </c>
      <c r="AH32" s="7">
        <f t="shared" si="75"/>
        <v>0.19347832934046238</v>
      </c>
    </row>
    <row r="33" spans="10:34">
      <c r="J33" s="5">
        <f t="shared" si="60"/>
        <v>825049.02469135798</v>
      </c>
      <c r="K33" s="5">
        <f t="shared" si="61"/>
        <v>382514.27846364881</v>
      </c>
      <c r="L33" s="5">
        <f t="shared" si="62"/>
        <v>594969.45267489715</v>
      </c>
      <c r="M33" s="5">
        <f t="shared" si="63"/>
        <v>1480852.9259259256</v>
      </c>
      <c r="N33" s="5">
        <f t="shared" si="64"/>
        <v>1480852.9259259256</v>
      </c>
      <c r="O33" s="5">
        <f t="shared" si="65"/>
        <v>2482770.8271604935</v>
      </c>
      <c r="P33" s="5">
        <f t="shared" si="66"/>
        <v>667700.09465020569</v>
      </c>
      <c r="R33" s="6">
        <f t="shared" si="67"/>
        <v>825049.02469135798</v>
      </c>
      <c r="S33" s="6">
        <f t="shared" si="68"/>
        <v>382514.27846364881</v>
      </c>
      <c r="T33" s="6">
        <f t="shared" si="69"/>
        <v>594969.45267489715</v>
      </c>
      <c r="U33" s="6">
        <f t="shared" si="70"/>
        <v>1480852.9259259256</v>
      </c>
      <c r="V33" s="6">
        <f t="shared" si="71"/>
        <v>1480852.9259259256</v>
      </c>
      <c r="W33" s="6">
        <f t="shared" si="72"/>
        <v>2482770.8271604935</v>
      </c>
      <c r="X33" s="6">
        <f t="shared" si="73"/>
        <v>667700.09465020569</v>
      </c>
      <c r="Z33" s="6">
        <v>8835172633409.4258</v>
      </c>
      <c r="AA33" s="6">
        <v>4096467509359.5005</v>
      </c>
      <c r="AB33" s="6">
        <v>6371569195121.8828</v>
      </c>
      <c r="AC33" s="6">
        <v>15857752599583.6</v>
      </c>
      <c r="AD33" s="6">
        <v>15857752599583.6</v>
      </c>
      <c r="AE33" s="6">
        <v>26587860330281.25</v>
      </c>
      <c r="AF33" s="6">
        <v>7150333235786.4785</v>
      </c>
      <c r="AG33" s="6">
        <f t="shared" si="74"/>
        <v>84756908103125.734</v>
      </c>
      <c r="AH33" s="7">
        <f t="shared" si="75"/>
        <v>7.4191420911075653E-2</v>
      </c>
    </row>
    <row r="34" spans="10:34">
      <c r="J34" s="5">
        <f t="shared" si="60"/>
        <v>825049.02469135798</v>
      </c>
      <c r="K34" s="5">
        <f t="shared" si="61"/>
        <v>382514.27846364881</v>
      </c>
      <c r="L34" s="5">
        <f t="shared" si="62"/>
        <v>594969.45267489715</v>
      </c>
      <c r="M34" s="5">
        <f t="shared" si="63"/>
        <v>1480852.9259259256</v>
      </c>
      <c r="N34" s="5">
        <f t="shared" si="64"/>
        <v>1480852.9259259256</v>
      </c>
      <c r="O34" s="5">
        <f t="shared" si="65"/>
        <v>2482770.8271604935</v>
      </c>
      <c r="P34" s="5">
        <f t="shared" si="66"/>
        <v>667700.09465020569</v>
      </c>
      <c r="R34" s="6">
        <f t="shared" si="67"/>
        <v>825049.02469135798</v>
      </c>
      <c r="S34" s="6">
        <f t="shared" si="68"/>
        <v>382514.27846364881</v>
      </c>
      <c r="T34" s="6">
        <f t="shared" si="69"/>
        <v>594969.45267489715</v>
      </c>
      <c r="U34" s="6">
        <f t="shared" si="70"/>
        <v>1480852.9259259256</v>
      </c>
      <c r="V34" s="6">
        <f t="shared" si="71"/>
        <v>1480852.9259259256</v>
      </c>
      <c r="W34" s="6">
        <f t="shared" si="72"/>
        <v>2482770.8271604935</v>
      </c>
      <c r="X34" s="6">
        <f t="shared" si="73"/>
        <v>667700.09465020569</v>
      </c>
      <c r="Z34" s="6">
        <v>8835172633409.4258</v>
      </c>
      <c r="AA34" s="6">
        <v>4096467509359.5005</v>
      </c>
      <c r="AB34" s="6">
        <v>6371569195121.8828</v>
      </c>
      <c r="AC34" s="6">
        <v>15857752599583.6</v>
      </c>
      <c r="AD34" s="6">
        <v>15857752599583.6</v>
      </c>
      <c r="AE34" s="6">
        <v>26587860330281.25</v>
      </c>
      <c r="AF34" s="6">
        <v>7150333235786.4785</v>
      </c>
      <c r="AG34" s="6">
        <f t="shared" si="74"/>
        <v>84756908103125.734</v>
      </c>
      <c r="AH34" s="7">
        <f t="shared" si="75"/>
        <v>7.4191420911075653E-2</v>
      </c>
    </row>
    <row r="35" spans="10:34">
      <c r="J35" s="5">
        <f t="shared" si="60"/>
        <v>537449.55967078195</v>
      </c>
      <c r="K35" s="5">
        <f t="shared" si="61"/>
        <v>249200.7119341564</v>
      </c>
      <c r="L35" s="5">
        <f t="shared" si="62"/>
        <v>387584.52812071331</v>
      </c>
      <c r="M35" s="5">
        <f t="shared" si="63"/>
        <v>964690.72839506157</v>
      </c>
      <c r="N35" s="5">
        <f t="shared" si="64"/>
        <v>964690.72839506157</v>
      </c>
      <c r="O35" s="5">
        <f t="shared" si="65"/>
        <v>1617495.0987654321</v>
      </c>
      <c r="P35" s="5">
        <f t="shared" si="66"/>
        <v>434963.92181069963</v>
      </c>
      <c r="R35" s="6">
        <f t="shared" si="67"/>
        <v>537449.55967078195</v>
      </c>
      <c r="S35" s="6">
        <f t="shared" si="68"/>
        <v>249200.7119341564</v>
      </c>
      <c r="T35" s="6">
        <f t="shared" si="69"/>
        <v>387584.52812071331</v>
      </c>
      <c r="U35" s="6">
        <f t="shared" si="70"/>
        <v>964690.72839506157</v>
      </c>
      <c r="V35" s="6">
        <f t="shared" si="71"/>
        <v>964690.72839506157</v>
      </c>
      <c r="W35" s="6">
        <f t="shared" si="72"/>
        <v>1617495.0987654321</v>
      </c>
      <c r="X35" s="6">
        <f t="shared" si="73"/>
        <v>434963.92181069963</v>
      </c>
      <c r="Z35" s="6">
        <v>5755668335549.9971</v>
      </c>
      <c r="AA35" s="6">
        <v>2668641501865.8545</v>
      </c>
      <c r="AB35" s="6">
        <v>4150755236390.4043</v>
      </c>
      <c r="AC35" s="6">
        <v>10330524189741.023</v>
      </c>
      <c r="AD35" s="6">
        <v>10330524189741.023</v>
      </c>
      <c r="AE35" s="6">
        <v>17320646974291.125</v>
      </c>
      <c r="AF35" s="6">
        <v>4658080641900.4824</v>
      </c>
      <c r="AG35" s="6">
        <f t="shared" si="74"/>
        <v>55214841069479.914</v>
      </c>
      <c r="AH35" s="7">
        <f t="shared" si="75"/>
        <v>4.8331960261453401E-2</v>
      </c>
    </row>
    <row r="36" spans="10:34">
      <c r="J36" s="5">
        <f t="shared" si="60"/>
        <v>1741275.6172839506</v>
      </c>
      <c r="K36" s="5">
        <f t="shared" si="61"/>
        <v>807341.7983539094</v>
      </c>
      <c r="L36" s="5">
        <f t="shared" si="62"/>
        <v>1255746.4320987654</v>
      </c>
      <c r="M36" s="5">
        <f t="shared" si="63"/>
        <v>3125236.6543209874</v>
      </c>
      <c r="N36" s="5">
        <f t="shared" si="64"/>
        <v>3125236.6543209874</v>
      </c>
      <c r="O36" s="5">
        <f t="shared" si="65"/>
        <v>5239873.2222222211</v>
      </c>
      <c r="P36" s="5">
        <f t="shared" si="66"/>
        <v>1409217.271604938</v>
      </c>
      <c r="R36" s="6">
        <f t="shared" si="67"/>
        <v>1741275.6172839506</v>
      </c>
      <c r="S36" s="6">
        <f t="shared" si="68"/>
        <v>807341.7983539094</v>
      </c>
      <c r="T36" s="6">
        <f t="shared" si="69"/>
        <v>1255746.4320987654</v>
      </c>
      <c r="U36" s="6">
        <f t="shared" si="70"/>
        <v>3125236.6543209874</v>
      </c>
      <c r="V36" s="6">
        <f t="shared" si="71"/>
        <v>3125236.6543209874</v>
      </c>
      <c r="W36" s="6">
        <f t="shared" si="72"/>
        <v>5239873.2222222211</v>
      </c>
      <c r="X36" s="6">
        <f t="shared" si="73"/>
        <v>1409217.271604938</v>
      </c>
      <c r="Z36" s="6">
        <v>18646826169689.027</v>
      </c>
      <c r="AA36" s="6">
        <v>8645684792118.0781</v>
      </c>
      <c r="AB36" s="6">
        <v>13447336939783.844</v>
      </c>
      <c r="AC36" s="6">
        <v>33468135636110.906</v>
      </c>
      <c r="AD36" s="6">
        <v>33468135636110.906</v>
      </c>
      <c r="AE36" s="6">
        <v>56114264053590.297</v>
      </c>
      <c r="AF36" s="6">
        <v>15090935571727.379</v>
      </c>
      <c r="AG36" s="6">
        <f t="shared" si="74"/>
        <v>178881318799130.44</v>
      </c>
      <c r="AH36" s="7">
        <f t="shared" si="75"/>
        <v>0.15658262569001333</v>
      </c>
    </row>
    <row r="37" spans="10:34">
      <c r="AG37" s="6">
        <f>SUM(AG30:AG36)</f>
        <v>1142408476105528</v>
      </c>
    </row>
  </sheetData>
  <mergeCells count="3">
    <mergeCell ref="J2:P2"/>
    <mergeCell ref="R2:X2"/>
    <mergeCell ref="Z2:AF2"/>
  </mergeCells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D67"/>
  <sheetViews>
    <sheetView topLeftCell="S59" workbookViewId="0">
      <selection activeCell="X60" sqref="X60:AD67"/>
    </sheetView>
  </sheetViews>
  <sheetFormatPr baseColWidth="10" defaultColWidth="11.5703125" defaultRowHeight="15"/>
  <cols>
    <col min="1" max="1" width="16.85546875" bestFit="1" customWidth="1"/>
    <col min="2" max="2" width="16.85546875" style="1" bestFit="1" customWidth="1"/>
    <col min="3" max="8" width="10.28515625" style="1" customWidth="1"/>
    <col min="10" max="10" width="14.85546875" bestFit="1" customWidth="1"/>
    <col min="13" max="13" width="17.85546875" style="1" bestFit="1" customWidth="1"/>
    <col min="14" max="20" width="5.5703125" style="1" bestFit="1" customWidth="1"/>
    <col min="24" max="24" width="18" style="1" customWidth="1"/>
    <col min="25" max="25" width="8.140625" style="1" customWidth="1"/>
    <col min="26" max="26" width="11" style="1" customWidth="1"/>
    <col min="27" max="27" width="9.85546875" style="1" bestFit="1" customWidth="1"/>
    <col min="28" max="28" width="7.42578125" style="1" bestFit="1" customWidth="1"/>
    <col min="29" max="29" width="9.140625" style="1" customWidth="1"/>
    <col min="30" max="30" width="8.7109375" style="1" bestFit="1" customWidth="1"/>
  </cols>
  <sheetData>
    <row r="2" spans="1:8" ht="60">
      <c r="A2" s="24" t="s">
        <v>22</v>
      </c>
      <c r="B2" s="24" t="s">
        <v>31</v>
      </c>
      <c r="C2" s="24" t="s">
        <v>33</v>
      </c>
      <c r="D2" s="24" t="s">
        <v>35</v>
      </c>
      <c r="E2" s="24" t="s">
        <v>38</v>
      </c>
      <c r="F2" s="24" t="s">
        <v>40</v>
      </c>
      <c r="G2" s="24" t="s">
        <v>61</v>
      </c>
      <c r="H2" s="24" t="s">
        <v>62</v>
      </c>
    </row>
    <row r="3" spans="1:8">
      <c r="A3" t="s">
        <v>23</v>
      </c>
      <c r="B3" s="1">
        <v>15</v>
      </c>
      <c r="C3" s="1">
        <v>30</v>
      </c>
      <c r="D3" s="1">
        <v>25</v>
      </c>
      <c r="E3" s="1">
        <v>3500</v>
      </c>
      <c r="F3" s="1">
        <v>17</v>
      </c>
      <c r="G3" s="1">
        <v>0.1</v>
      </c>
      <c r="H3" s="1">
        <v>0.08</v>
      </c>
    </row>
    <row r="4" spans="1:8">
      <c r="A4" t="s">
        <v>24</v>
      </c>
      <c r="B4" s="1">
        <v>10</v>
      </c>
      <c r="C4" s="1">
        <v>30</v>
      </c>
      <c r="D4" s="1">
        <v>25</v>
      </c>
      <c r="E4" s="1">
        <v>4500</v>
      </c>
      <c r="F4" s="1">
        <v>75</v>
      </c>
      <c r="G4" s="1">
        <v>0.1</v>
      </c>
      <c r="H4" s="1">
        <v>0.12</v>
      </c>
    </row>
    <row r="5" spans="1:8">
      <c r="A5" t="s">
        <v>25</v>
      </c>
      <c r="B5" s="1">
        <v>36</v>
      </c>
      <c r="C5" s="1">
        <v>90</v>
      </c>
      <c r="D5" s="1">
        <v>30</v>
      </c>
      <c r="E5" s="1">
        <v>2500</v>
      </c>
      <c r="F5" s="1">
        <v>8</v>
      </c>
      <c r="G5" s="1">
        <v>0.06</v>
      </c>
      <c r="H5" s="1">
        <v>0.03</v>
      </c>
    </row>
    <row r="6" spans="1:8">
      <c r="A6" t="s">
        <v>26</v>
      </c>
      <c r="B6" s="1">
        <v>25</v>
      </c>
      <c r="C6" s="1">
        <v>90</v>
      </c>
      <c r="D6" s="1">
        <v>25</v>
      </c>
      <c r="E6" s="1">
        <v>2500</v>
      </c>
      <c r="F6" s="1">
        <v>14</v>
      </c>
      <c r="G6" s="1">
        <v>1.18</v>
      </c>
      <c r="H6" s="1">
        <v>1.18</v>
      </c>
    </row>
    <row r="7" spans="1:8">
      <c r="A7" t="s">
        <v>27</v>
      </c>
      <c r="B7" s="1">
        <v>28</v>
      </c>
      <c r="C7" s="1">
        <v>30</v>
      </c>
      <c r="D7" s="1">
        <v>25</v>
      </c>
      <c r="E7" s="1">
        <v>1100</v>
      </c>
      <c r="F7" s="1">
        <v>7</v>
      </c>
      <c r="G7" s="1">
        <v>0.02</v>
      </c>
      <c r="H7" s="1">
        <v>0.79</v>
      </c>
    </row>
    <row r="8" spans="1:8">
      <c r="A8" t="s">
        <v>28</v>
      </c>
      <c r="B8" s="1">
        <v>80</v>
      </c>
      <c r="C8" s="1">
        <v>90</v>
      </c>
      <c r="D8" s="1">
        <v>50</v>
      </c>
      <c r="E8" s="1">
        <v>2000</v>
      </c>
      <c r="F8" s="1">
        <v>8</v>
      </c>
      <c r="G8" s="1">
        <v>0.04</v>
      </c>
      <c r="H8" s="1">
        <v>0.13</v>
      </c>
    </row>
    <row r="12" spans="1:8" ht="36">
      <c r="A12" s="59" t="s">
        <v>22</v>
      </c>
      <c r="B12" s="59" t="s">
        <v>31</v>
      </c>
      <c r="C12" s="59" t="s">
        <v>33</v>
      </c>
      <c r="D12" s="59" t="s">
        <v>35</v>
      </c>
      <c r="E12" s="59" t="s">
        <v>38</v>
      </c>
      <c r="F12" s="59" t="s">
        <v>40</v>
      </c>
      <c r="G12" s="59" t="s">
        <v>61</v>
      </c>
      <c r="H12" s="59" t="s">
        <v>62</v>
      </c>
    </row>
    <row r="13" spans="1:8">
      <c r="A13" s="60" t="s">
        <v>23</v>
      </c>
      <c r="B13" s="71">
        <f t="shared" ref="B13:B18" si="0">B3/SUM($B$3:$B$8)</f>
        <v>7.7319587628865982E-2</v>
      </c>
      <c r="C13" s="71">
        <f t="shared" ref="C13:C18" si="1">C3/SUM($C$3:$C$8)</f>
        <v>8.3333333333333329E-2</v>
      </c>
      <c r="D13" s="71">
        <f t="shared" ref="D13:D18" si="2">D3/SUM($D$3:$D$8)</f>
        <v>0.1388888888888889</v>
      </c>
      <c r="E13" s="71">
        <f t="shared" ref="E13:E18" si="3">(1/E3)/((1/$E$3)+(1/$E$4)+(1/$E$5)+(1/$E$6)+(1/$E$7)+(1/$E$8))</f>
        <v>0.10515693876467153</v>
      </c>
      <c r="F13" s="71">
        <f t="shared" ref="F13:F18" si="4">(1/F3)/((1/$F$3)+(1/$F$4)+(1/$F$5)+(1/$F$6)+(1/$F$7)+(1/$F$8))</f>
        <v>0.10965484831079317</v>
      </c>
      <c r="G13" s="71">
        <f t="shared" ref="G13:G18" si="5">(1/G3)/((1/$G$3)+(1/$G$4)+(1/$G$5)+(1/$G$6)+(1/$G$7)+(1/$G$8))</f>
        <v>8.8877730354004522E-2</v>
      </c>
      <c r="H13" s="71">
        <f t="shared" ref="H13:H18" si="6">(1/H3)/((1/$H$3)+(1/$H$4)+(1/$H$5)+(1/$H$6)+(1/$H$7)+(1/$H$8))</f>
        <v>0.19539720844239253</v>
      </c>
    </row>
    <row r="14" spans="1:8">
      <c r="A14" s="60" t="s">
        <v>24</v>
      </c>
      <c r="B14" s="71">
        <f t="shared" si="0"/>
        <v>5.1546391752577317E-2</v>
      </c>
      <c r="C14" s="71">
        <f t="shared" si="1"/>
        <v>8.3333333333333329E-2</v>
      </c>
      <c r="D14" s="71">
        <f t="shared" si="2"/>
        <v>0.1388888888888889</v>
      </c>
      <c r="E14" s="71">
        <f t="shared" si="3"/>
        <v>8.1788730150300082E-2</v>
      </c>
      <c r="F14" s="71">
        <f t="shared" si="4"/>
        <v>2.4855098950446453E-2</v>
      </c>
      <c r="G14" s="71">
        <f t="shared" si="5"/>
        <v>8.8877730354004522E-2</v>
      </c>
      <c r="H14" s="71">
        <f t="shared" si="6"/>
        <v>0.1302648056282617</v>
      </c>
    </row>
    <row r="15" spans="1:8">
      <c r="A15" s="60" t="s">
        <v>25</v>
      </c>
      <c r="B15" s="71">
        <f t="shared" si="0"/>
        <v>0.18556701030927836</v>
      </c>
      <c r="C15" s="71">
        <f t="shared" si="1"/>
        <v>0.25</v>
      </c>
      <c r="D15" s="71">
        <f t="shared" si="2"/>
        <v>0.16666666666666666</v>
      </c>
      <c r="E15" s="71">
        <f t="shared" si="3"/>
        <v>0.14721971427054015</v>
      </c>
      <c r="F15" s="71">
        <f t="shared" si="4"/>
        <v>0.23301655266043547</v>
      </c>
      <c r="G15" s="71">
        <f t="shared" si="5"/>
        <v>0.14812955059000754</v>
      </c>
      <c r="H15" s="71">
        <f t="shared" si="6"/>
        <v>0.52105922251304682</v>
      </c>
    </row>
    <row r="16" spans="1:8">
      <c r="A16" s="60" t="s">
        <v>26</v>
      </c>
      <c r="B16" s="71">
        <f t="shared" si="0"/>
        <v>0.12886597938144329</v>
      </c>
      <c r="C16" s="71">
        <f t="shared" si="1"/>
        <v>0.25</v>
      </c>
      <c r="D16" s="71">
        <f t="shared" si="2"/>
        <v>0.1388888888888889</v>
      </c>
      <c r="E16" s="71">
        <f t="shared" si="3"/>
        <v>0.14721971427054015</v>
      </c>
      <c r="F16" s="71">
        <f t="shared" si="4"/>
        <v>0.13315231580596312</v>
      </c>
      <c r="G16" s="71">
        <f t="shared" si="5"/>
        <v>7.5320110469495362E-3</v>
      </c>
      <c r="H16" s="71">
        <f t="shared" si="6"/>
        <v>1.3247268368975766E-2</v>
      </c>
    </row>
    <row r="17" spans="1:21">
      <c r="A17" s="60" t="s">
        <v>27</v>
      </c>
      <c r="B17" s="71">
        <f t="shared" si="0"/>
        <v>0.14432989690721648</v>
      </c>
      <c r="C17" s="71">
        <f t="shared" si="1"/>
        <v>8.3333333333333329E-2</v>
      </c>
      <c r="D17" s="71">
        <f t="shared" si="2"/>
        <v>0.1388888888888889</v>
      </c>
      <c r="E17" s="71">
        <f t="shared" si="3"/>
        <v>0.33459025970577305</v>
      </c>
      <c r="F17" s="71">
        <f t="shared" si="4"/>
        <v>0.26630463161192625</v>
      </c>
      <c r="G17" s="71">
        <f t="shared" si="5"/>
        <v>0.44438865177002257</v>
      </c>
      <c r="H17" s="71">
        <f t="shared" si="6"/>
        <v>1.9787059082773926E-2</v>
      </c>
    </row>
    <row r="18" spans="1:21">
      <c r="A18" s="60" t="s">
        <v>70</v>
      </c>
      <c r="B18" s="71">
        <f t="shared" si="0"/>
        <v>0.41237113402061853</v>
      </c>
      <c r="C18" s="71">
        <f t="shared" si="1"/>
        <v>0.25</v>
      </c>
      <c r="D18" s="71">
        <f t="shared" si="2"/>
        <v>0.27777777777777779</v>
      </c>
      <c r="E18" s="71">
        <f t="shared" si="3"/>
        <v>0.18402464283817518</v>
      </c>
      <c r="F18" s="71">
        <f t="shared" si="4"/>
        <v>0.23301655266043547</v>
      </c>
      <c r="G18" s="71">
        <f t="shared" si="5"/>
        <v>0.22219432588501128</v>
      </c>
      <c r="H18" s="71">
        <f t="shared" si="6"/>
        <v>0.12024443596454924</v>
      </c>
    </row>
    <row r="21" spans="1:21">
      <c r="A21" s="12" t="s">
        <v>7</v>
      </c>
      <c r="B21" s="12" t="s">
        <v>8</v>
      </c>
    </row>
    <row r="22" spans="1:21">
      <c r="A22" s="12" t="s">
        <v>0</v>
      </c>
      <c r="B22" s="1">
        <v>0.13952874663691719</v>
      </c>
    </row>
    <row r="23" spans="1:21">
      <c r="A23" s="12" t="s">
        <v>1</v>
      </c>
      <c r="B23" s="1">
        <v>0.31369549624900245</v>
      </c>
      <c r="M23" s="69" t="s">
        <v>79</v>
      </c>
      <c r="N23" s="69" t="s">
        <v>0</v>
      </c>
      <c r="O23" s="69" t="s">
        <v>1</v>
      </c>
      <c r="P23" s="69" t="s">
        <v>2</v>
      </c>
      <c r="Q23" s="69" t="s">
        <v>3</v>
      </c>
      <c r="R23" s="69" t="s">
        <v>4</v>
      </c>
      <c r="S23" s="69" t="s">
        <v>5</v>
      </c>
      <c r="T23" s="69" t="s">
        <v>6</v>
      </c>
      <c r="U23" s="68"/>
    </row>
    <row r="24" spans="1:21">
      <c r="A24" s="12" t="s">
        <v>2</v>
      </c>
      <c r="B24" s="1">
        <v>0.19347832934046238</v>
      </c>
      <c r="M24" s="69" t="s">
        <v>23</v>
      </c>
      <c r="N24" s="70">
        <v>7.7319587628865982E-2</v>
      </c>
      <c r="O24" s="70">
        <v>8.3333333333333329E-2</v>
      </c>
      <c r="P24" s="70">
        <v>0.1388888888888889</v>
      </c>
      <c r="Q24" s="70">
        <v>0.10515693876467153</v>
      </c>
      <c r="R24" s="70">
        <v>0.10965484831079317</v>
      </c>
      <c r="S24" s="70">
        <v>8.8877730354004522E-2</v>
      </c>
      <c r="T24" s="70">
        <v>0.19539720844239253</v>
      </c>
      <c r="U24" s="68"/>
    </row>
    <row r="25" spans="1:21">
      <c r="A25" s="12" t="s">
        <v>3</v>
      </c>
      <c r="B25" s="1">
        <v>7.4191420911075653E-2</v>
      </c>
      <c r="M25" s="69" t="s">
        <v>24</v>
      </c>
      <c r="N25" s="70">
        <v>5.1546391752577317E-2</v>
      </c>
      <c r="O25" s="70">
        <v>8.3333333333333329E-2</v>
      </c>
      <c r="P25" s="70">
        <v>0.1388888888888889</v>
      </c>
      <c r="Q25" s="70">
        <v>8.1788730150300082E-2</v>
      </c>
      <c r="R25" s="70">
        <v>2.4855098950446453E-2</v>
      </c>
      <c r="S25" s="70">
        <v>8.8877730354004522E-2</v>
      </c>
      <c r="T25" s="70">
        <v>0.1302648056282617</v>
      </c>
      <c r="U25" s="68"/>
    </row>
    <row r="26" spans="1:21">
      <c r="A26" s="12" t="s">
        <v>4</v>
      </c>
      <c r="B26" s="1">
        <v>7.4191420911075653E-2</v>
      </c>
      <c r="M26" s="69" t="s">
        <v>25</v>
      </c>
      <c r="N26" s="70">
        <v>0.18556701030927836</v>
      </c>
      <c r="O26" s="70">
        <v>0.25</v>
      </c>
      <c r="P26" s="70">
        <v>0.16666666666666666</v>
      </c>
      <c r="Q26" s="70">
        <v>0.14721971427054015</v>
      </c>
      <c r="R26" s="70">
        <v>0.23301655266043547</v>
      </c>
      <c r="S26" s="70">
        <v>0.14812955059000754</v>
      </c>
      <c r="T26" s="70">
        <v>0.52105922251304682</v>
      </c>
      <c r="U26" s="68"/>
    </row>
    <row r="27" spans="1:21">
      <c r="A27" s="12" t="s">
        <v>5</v>
      </c>
      <c r="B27" s="1">
        <v>4.8331960261453401E-2</v>
      </c>
      <c r="M27" s="69" t="s">
        <v>26</v>
      </c>
      <c r="N27" s="70">
        <v>0.12886597938144329</v>
      </c>
      <c r="O27" s="70">
        <v>0.25</v>
      </c>
      <c r="P27" s="70">
        <v>0.1388888888888889</v>
      </c>
      <c r="Q27" s="70">
        <v>0.14721971427054015</v>
      </c>
      <c r="R27" s="70">
        <v>0.13315231580596312</v>
      </c>
      <c r="S27" s="70">
        <v>7.5320110469495362E-3</v>
      </c>
      <c r="T27" s="70">
        <v>1.3247268368975766E-2</v>
      </c>
      <c r="U27" s="68"/>
    </row>
    <row r="28" spans="1:21">
      <c r="A28" s="12" t="s">
        <v>6</v>
      </c>
      <c r="B28" s="1">
        <v>0.15658262569001333</v>
      </c>
      <c r="M28" s="69" t="s">
        <v>27</v>
      </c>
      <c r="N28" s="70">
        <v>0.14432989690721648</v>
      </c>
      <c r="O28" s="70">
        <v>8.3333333333333329E-2</v>
      </c>
      <c r="P28" s="70">
        <v>0.1388888888888889</v>
      </c>
      <c r="Q28" s="70">
        <v>0.33459025970577305</v>
      </c>
      <c r="R28" s="70">
        <v>0.26630463161192625</v>
      </c>
      <c r="S28" s="70">
        <v>0.44438865177002257</v>
      </c>
      <c r="T28" s="70">
        <v>1.9787059082773926E-2</v>
      </c>
      <c r="U28" s="68"/>
    </row>
    <row r="29" spans="1:21">
      <c r="M29" s="69" t="s">
        <v>70</v>
      </c>
      <c r="N29" s="70">
        <v>0.41237113402061853</v>
      </c>
      <c r="O29" s="70">
        <v>0.25</v>
      </c>
      <c r="P29" s="70">
        <v>0.27777777777777779</v>
      </c>
      <c r="Q29" s="70">
        <v>0.18402464283817518</v>
      </c>
      <c r="R29" s="70">
        <v>0.23301655266043547</v>
      </c>
      <c r="S29" s="70">
        <v>0.22219432588501128</v>
      </c>
      <c r="T29" s="70">
        <v>0.12024443596454924</v>
      </c>
      <c r="U29" s="68"/>
    </row>
    <row r="30" spans="1:21">
      <c r="B30" s="1" t="s">
        <v>22</v>
      </c>
      <c r="C30" s="1" t="s">
        <v>74</v>
      </c>
      <c r="J30" s="61" t="s">
        <v>25</v>
      </c>
      <c r="K30" s="62">
        <v>0.25352067633055964</v>
      </c>
    </row>
    <row r="31" spans="1:21">
      <c r="B31" s="63" t="str">
        <f t="shared" ref="B31:B36" si="7">A13</f>
        <v>Solar Térmica</v>
      </c>
      <c r="C31" s="65">
        <f t="shared" ref="C31:C36" si="8">$B$22*B13+$B$23*C13+$B$24*D13+$B$25*E13+$B$26*F13+$B$27*G13+$B$28*H13</f>
        <v>0.11463022128618058</v>
      </c>
      <c r="J31" s="61" t="s">
        <v>70</v>
      </c>
      <c r="K31" s="62">
        <v>0.25021363762317655</v>
      </c>
    </row>
    <row r="32" spans="1:21">
      <c r="B32" s="63" t="str">
        <f t="shared" si="7"/>
        <v>Solar Fotovoltaica</v>
      </c>
      <c r="C32" s="65">
        <f t="shared" si="8"/>
        <v>9.2810382419404175E-2</v>
      </c>
      <c r="J32" s="61" t="s">
        <v>26</v>
      </c>
      <c r="K32" s="62">
        <v>0.14651590105380063</v>
      </c>
    </row>
    <row r="33" spans="2:11">
      <c r="B33" s="63" t="str">
        <f t="shared" si="7"/>
        <v>Geotérmica</v>
      </c>
      <c r="C33" s="65">
        <f t="shared" si="8"/>
        <v>0.25352067633055964</v>
      </c>
      <c r="J33" s="61" t="s">
        <v>27</v>
      </c>
      <c r="K33" s="62">
        <v>0.1423091812868785</v>
      </c>
    </row>
    <row r="34" spans="2:11">
      <c r="B34" s="63" t="str">
        <f t="shared" si="7"/>
        <v>Biomasa</v>
      </c>
      <c r="C34" s="65">
        <f t="shared" si="8"/>
        <v>0.14651590105380063</v>
      </c>
      <c r="J34" s="61" t="s">
        <v>23</v>
      </c>
      <c r="K34" s="62">
        <v>0.11463022128618058</v>
      </c>
    </row>
    <row r="35" spans="2:11">
      <c r="B35" s="63" t="str">
        <f t="shared" si="7"/>
        <v>Eólica</v>
      </c>
      <c r="C35" s="65">
        <f t="shared" si="8"/>
        <v>0.1423091812868785</v>
      </c>
      <c r="J35" s="61" t="s">
        <v>24</v>
      </c>
      <c r="K35" s="62">
        <v>9.2810382419404175E-2</v>
      </c>
    </row>
    <row r="36" spans="2:11">
      <c r="B36" s="63" t="str">
        <f t="shared" si="7"/>
        <v>Hidráulica</v>
      </c>
      <c r="C36" s="65">
        <f t="shared" si="8"/>
        <v>0.25021363762317655</v>
      </c>
    </row>
    <row r="60" spans="24:30" ht="24">
      <c r="X60" s="64" t="s">
        <v>22</v>
      </c>
      <c r="Y60" s="64" t="s">
        <v>23</v>
      </c>
      <c r="Z60" s="64" t="s">
        <v>24</v>
      </c>
      <c r="AA60" s="64" t="s">
        <v>25</v>
      </c>
      <c r="AB60" s="64" t="s">
        <v>26</v>
      </c>
      <c r="AC60" s="64" t="s">
        <v>27</v>
      </c>
      <c r="AD60" s="64" t="s">
        <v>70</v>
      </c>
    </row>
    <row r="61" spans="24:30" ht="27" customHeight="1">
      <c r="X61" s="64" t="s">
        <v>31</v>
      </c>
      <c r="Y61" s="33">
        <v>7.7319587628865982E-2</v>
      </c>
      <c r="Z61" s="33">
        <v>5.1546391752577317E-2</v>
      </c>
      <c r="AA61" s="33">
        <v>0.18556701030927836</v>
      </c>
      <c r="AB61" s="33">
        <v>0.12886597938144329</v>
      </c>
      <c r="AC61" s="33">
        <v>0.14432989690721648</v>
      </c>
      <c r="AD61" s="33">
        <v>0.41237113402061853</v>
      </c>
    </row>
    <row r="62" spans="24:30" ht="24">
      <c r="X62" s="64" t="s">
        <v>33</v>
      </c>
      <c r="Y62" s="33">
        <v>8.3333333333333329E-2</v>
      </c>
      <c r="Z62" s="33">
        <v>8.3333333333333329E-2</v>
      </c>
      <c r="AA62" s="33">
        <v>0.25</v>
      </c>
      <c r="AB62" s="33">
        <v>0.25</v>
      </c>
      <c r="AC62" s="33">
        <v>8.3333333333333329E-2</v>
      </c>
      <c r="AD62" s="33">
        <v>0.25</v>
      </c>
    </row>
    <row r="63" spans="24:30">
      <c r="X63" s="64" t="s">
        <v>35</v>
      </c>
      <c r="Y63" s="33">
        <v>0.1388888888888889</v>
      </c>
      <c r="Z63" s="33">
        <v>0.1388888888888889</v>
      </c>
      <c r="AA63" s="33">
        <v>0.16666666666666666</v>
      </c>
      <c r="AB63" s="33">
        <v>0.1388888888888889</v>
      </c>
      <c r="AC63" s="33">
        <v>0.1388888888888889</v>
      </c>
      <c r="AD63" s="33">
        <v>0.27777777777777779</v>
      </c>
    </row>
    <row r="64" spans="24:30" ht="24">
      <c r="X64" s="64" t="s">
        <v>38</v>
      </c>
      <c r="Y64" s="33">
        <v>0.10515693876467153</v>
      </c>
      <c r="Z64" s="33">
        <v>8.1788730150300082E-2</v>
      </c>
      <c r="AA64" s="33">
        <v>0.14721971427054015</v>
      </c>
      <c r="AB64" s="33">
        <v>0.14721971427054015</v>
      </c>
      <c r="AC64" s="33">
        <v>0.33459025970577305</v>
      </c>
      <c r="AD64" s="33">
        <v>0.18402464283817518</v>
      </c>
    </row>
    <row r="65" spans="24:30" ht="36">
      <c r="X65" s="64" t="s">
        <v>40</v>
      </c>
      <c r="Y65" s="33">
        <v>0.10965484831079317</v>
      </c>
      <c r="Z65" s="33">
        <v>2.4855098950446453E-2</v>
      </c>
      <c r="AA65" s="33">
        <v>0.23301655266043547</v>
      </c>
      <c r="AB65" s="33">
        <v>0.13315231580596312</v>
      </c>
      <c r="AC65" s="33">
        <v>0.26630463161192625</v>
      </c>
      <c r="AD65" s="33">
        <v>0.23301655266043547</v>
      </c>
    </row>
    <row r="66" spans="24:30" ht="24">
      <c r="X66" s="64" t="s">
        <v>61</v>
      </c>
      <c r="Y66" s="33">
        <v>8.8877730354004522E-2</v>
      </c>
      <c r="Z66" s="33">
        <v>8.8877730354004522E-2</v>
      </c>
      <c r="AA66" s="33">
        <v>0.14812955059000754</v>
      </c>
      <c r="AB66" s="33">
        <v>7.5320110469495362E-3</v>
      </c>
      <c r="AC66" s="33">
        <v>0.44438865177002257</v>
      </c>
      <c r="AD66" s="33">
        <v>0.22219432588501128</v>
      </c>
    </row>
    <row r="67" spans="24:30" ht="24">
      <c r="X67" s="64" t="s">
        <v>62</v>
      </c>
      <c r="Y67" s="33">
        <v>0.19539720844239253</v>
      </c>
      <c r="Z67" s="33">
        <v>0.1302648056282617</v>
      </c>
      <c r="AA67" s="33">
        <v>0.52105922251304682</v>
      </c>
      <c r="AB67" s="33">
        <v>1.3247268368975766E-2</v>
      </c>
      <c r="AC67" s="33">
        <v>1.9787059082773926E-2</v>
      </c>
      <c r="AD67" s="33">
        <v>0.12024443596454924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U87"/>
  <sheetViews>
    <sheetView topLeftCell="B1" workbookViewId="0">
      <selection activeCell="U47" sqref="U47"/>
    </sheetView>
  </sheetViews>
  <sheetFormatPr baseColWidth="10" defaultColWidth="11.42578125" defaultRowHeight="14.25"/>
  <cols>
    <col min="1" max="1" width="4.5703125" style="18" customWidth="1"/>
    <col min="2" max="2" width="11.42578125" style="18"/>
    <col min="3" max="3" width="11.42578125" style="19"/>
    <col min="4" max="4" width="16.5703125" style="18" customWidth="1"/>
    <col min="5" max="10" width="14.28515625" style="18" customWidth="1"/>
    <col min="11" max="11" width="27" style="18" customWidth="1"/>
    <col min="12" max="12" width="11.42578125" style="18"/>
    <col min="13" max="13" width="13" style="18" bestFit="1" customWidth="1"/>
    <col min="14" max="14" width="11.42578125" style="18"/>
    <col min="15" max="15" width="13.7109375" style="18" bestFit="1" customWidth="1"/>
    <col min="16" max="17" width="11.42578125" style="18"/>
    <col min="18" max="18" width="11.42578125" style="19"/>
    <col min="19" max="20" width="11.42578125" style="18"/>
    <col min="21" max="21" width="11.42578125" style="19"/>
    <col min="22" max="16384" width="11.42578125" style="18"/>
  </cols>
  <sheetData>
    <row r="4" spans="1:20" ht="15" thickBot="1"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1"/>
    </row>
    <row r="5" spans="1:20" ht="24.75" thickBot="1">
      <c r="D5" s="22" t="s">
        <v>22</v>
      </c>
      <c r="E5" s="23" t="s">
        <v>23</v>
      </c>
      <c r="F5" s="23" t="s">
        <v>24</v>
      </c>
      <c r="G5" s="23" t="s">
        <v>25</v>
      </c>
      <c r="H5" s="23" t="s">
        <v>26</v>
      </c>
      <c r="I5" s="23" t="s">
        <v>27</v>
      </c>
      <c r="J5" s="23" t="s">
        <v>28</v>
      </c>
      <c r="K5" s="24"/>
      <c r="L5" s="25"/>
      <c r="M5" s="25"/>
      <c r="N5" s="25"/>
    </row>
    <row r="6" spans="1:20" ht="22.5" customHeight="1" thickBot="1">
      <c r="B6" s="26" t="s">
        <v>29</v>
      </c>
      <c r="C6" s="26" t="s">
        <v>30</v>
      </c>
      <c r="D6" s="27" t="s">
        <v>31</v>
      </c>
      <c r="E6" s="28">
        <v>15</v>
      </c>
      <c r="F6" s="28">
        <v>10</v>
      </c>
      <c r="G6" s="28">
        <v>36</v>
      </c>
      <c r="H6" s="28">
        <v>25</v>
      </c>
      <c r="I6" s="28">
        <v>28</v>
      </c>
      <c r="J6" s="28">
        <v>80</v>
      </c>
      <c r="K6" s="24"/>
      <c r="L6" s="25"/>
      <c r="M6" s="25"/>
      <c r="N6" s="25"/>
    </row>
    <row r="7" spans="1:20" ht="22.5" customHeight="1" thickBot="1">
      <c r="B7" s="26" t="s">
        <v>32</v>
      </c>
      <c r="C7" s="26" t="s">
        <v>30</v>
      </c>
      <c r="D7" s="27" t="s">
        <v>33</v>
      </c>
      <c r="E7" s="28">
        <v>30</v>
      </c>
      <c r="F7" s="28">
        <v>30</v>
      </c>
      <c r="G7" s="28">
        <v>90</v>
      </c>
      <c r="H7" s="28">
        <v>90</v>
      </c>
      <c r="I7" s="28">
        <v>30</v>
      </c>
      <c r="J7" s="28">
        <v>90</v>
      </c>
      <c r="K7" s="24"/>
      <c r="L7" s="25"/>
      <c r="M7" s="25"/>
      <c r="N7" s="25"/>
    </row>
    <row r="8" spans="1:20" ht="22.5" customHeight="1" thickBot="1">
      <c r="B8" s="26" t="s">
        <v>34</v>
      </c>
      <c r="C8" s="26" t="s">
        <v>30</v>
      </c>
      <c r="D8" s="27" t="s">
        <v>35</v>
      </c>
      <c r="E8" s="28">
        <v>25</v>
      </c>
      <c r="F8" s="28">
        <v>25</v>
      </c>
      <c r="G8" s="28">
        <v>30</v>
      </c>
      <c r="H8" s="28">
        <v>25</v>
      </c>
      <c r="I8" s="28">
        <v>25</v>
      </c>
      <c r="J8" s="28">
        <v>50</v>
      </c>
      <c r="K8" s="24"/>
      <c r="L8" s="25"/>
      <c r="M8" s="25"/>
      <c r="N8" s="25"/>
    </row>
    <row r="9" spans="1:20" ht="22.5" customHeight="1" thickBot="1">
      <c r="A9" s="19"/>
      <c r="B9" s="26" t="s">
        <v>36</v>
      </c>
      <c r="C9" s="26" t="s">
        <v>37</v>
      </c>
      <c r="D9" s="29" t="s">
        <v>38</v>
      </c>
      <c r="E9" s="30">
        <v>3500</v>
      </c>
      <c r="F9" s="30">
        <v>4500</v>
      </c>
      <c r="G9" s="30">
        <v>2500</v>
      </c>
      <c r="H9" s="30">
        <v>2500</v>
      </c>
      <c r="I9" s="30">
        <v>1100</v>
      </c>
      <c r="J9" s="30">
        <v>2000</v>
      </c>
      <c r="K9" s="24"/>
    </row>
    <row r="10" spans="1:20" ht="22.5" customHeight="1" thickBot="1">
      <c r="A10" s="19"/>
      <c r="B10" s="26" t="s">
        <v>39</v>
      </c>
      <c r="C10" s="26" t="s">
        <v>37</v>
      </c>
      <c r="D10" s="29" t="s">
        <v>40</v>
      </c>
      <c r="E10" s="30">
        <v>17</v>
      </c>
      <c r="F10" s="30">
        <v>75</v>
      </c>
      <c r="G10" s="30">
        <v>8</v>
      </c>
      <c r="H10" s="30">
        <v>14</v>
      </c>
      <c r="I10" s="30">
        <v>7</v>
      </c>
      <c r="J10" s="30">
        <v>8</v>
      </c>
      <c r="K10" s="24"/>
    </row>
    <row r="11" spans="1:20" ht="27.75" customHeight="1" thickBot="1">
      <c r="A11" s="19"/>
      <c r="B11" s="26" t="s">
        <v>41</v>
      </c>
      <c r="C11" s="26" t="s">
        <v>37</v>
      </c>
      <c r="D11" s="31" t="s">
        <v>42</v>
      </c>
      <c r="E11" s="32">
        <v>0.1</v>
      </c>
      <c r="F11" s="32">
        <v>0.1</v>
      </c>
      <c r="G11" s="32">
        <v>0.06</v>
      </c>
      <c r="H11" s="32">
        <v>1.18</v>
      </c>
      <c r="I11" s="32">
        <v>0.02</v>
      </c>
      <c r="J11" s="32">
        <v>0.04</v>
      </c>
      <c r="K11" s="24"/>
    </row>
    <row r="12" spans="1:20" ht="22.5" customHeight="1" thickBot="1">
      <c r="A12" s="19"/>
      <c r="B12" s="26" t="s">
        <v>43</v>
      </c>
      <c r="C12" s="26" t="s">
        <v>37</v>
      </c>
      <c r="D12" s="31" t="s">
        <v>44</v>
      </c>
      <c r="E12" s="32">
        <v>0.08</v>
      </c>
      <c r="F12" s="32">
        <v>0.12</v>
      </c>
      <c r="G12" s="32">
        <v>0.03</v>
      </c>
      <c r="H12" s="32">
        <v>1.18</v>
      </c>
      <c r="I12" s="32">
        <v>0.79</v>
      </c>
      <c r="J12" s="32">
        <v>0.13</v>
      </c>
      <c r="K12" s="34"/>
    </row>
    <row r="14" spans="1:20">
      <c r="C14" s="74" t="s">
        <v>45</v>
      </c>
      <c r="D14" s="75" t="s">
        <v>46</v>
      </c>
      <c r="E14" s="76"/>
      <c r="F14" s="76"/>
      <c r="G14" s="76"/>
      <c r="H14" s="76"/>
      <c r="I14" s="76"/>
      <c r="J14" s="77"/>
      <c r="K14" s="21"/>
      <c r="M14" s="78" t="s">
        <v>47</v>
      </c>
      <c r="N14" s="78"/>
      <c r="O14" s="78"/>
      <c r="P14" s="78"/>
      <c r="Q14" s="78"/>
      <c r="R14" s="78"/>
      <c r="S14" s="78"/>
    </row>
    <row r="15" spans="1:20" ht="15">
      <c r="C15" s="74"/>
      <c r="D15" s="35"/>
      <c r="E15" s="35" t="s">
        <v>16</v>
      </c>
      <c r="F15" s="35" t="s">
        <v>17</v>
      </c>
      <c r="G15" s="35" t="s">
        <v>18</v>
      </c>
      <c r="H15" s="35" t="s">
        <v>19</v>
      </c>
      <c r="I15" s="35" t="s">
        <v>20</v>
      </c>
      <c r="J15" s="35" t="s">
        <v>21</v>
      </c>
      <c r="K15" s="21"/>
      <c r="M15" s="35"/>
      <c r="N15" s="36" t="s">
        <v>16</v>
      </c>
      <c r="O15" s="36" t="s">
        <v>17</v>
      </c>
      <c r="P15" s="36" t="s">
        <v>18</v>
      </c>
      <c r="Q15" s="36" t="s">
        <v>19</v>
      </c>
      <c r="R15" s="36" t="s">
        <v>20</v>
      </c>
      <c r="S15" s="36" t="s">
        <v>21</v>
      </c>
      <c r="T15" s="37" t="s">
        <v>48</v>
      </c>
    </row>
    <row r="16" spans="1:20" ht="15">
      <c r="C16" s="74"/>
      <c r="D16" s="35" t="s">
        <v>16</v>
      </c>
      <c r="E16" s="38"/>
      <c r="F16" s="35">
        <f>IF(($E$6-F6)&gt;0,1,0)</f>
        <v>1</v>
      </c>
      <c r="G16" s="35">
        <f>IF(($E$6-G6)&gt;0,1,0)</f>
        <v>0</v>
      </c>
      <c r="H16" s="35">
        <f>IF(($E$6-H6)&gt;0,1,0)</f>
        <v>0</v>
      </c>
      <c r="I16" s="35">
        <f>IF(($E$6-I6)&gt;0,1,0)</f>
        <v>0</v>
      </c>
      <c r="J16" s="35">
        <f>IF(($E$6-J6)&gt;0,1,0)</f>
        <v>0</v>
      </c>
      <c r="K16" s="39"/>
      <c r="M16" s="36" t="s">
        <v>16</v>
      </c>
      <c r="N16" s="40"/>
      <c r="O16" s="41">
        <f>(SUM(F16,F26,F36,F46,F56,F66,F76))/7</f>
        <v>0.7142857142857143</v>
      </c>
      <c r="P16" s="41">
        <f>(SUM(G16,G26,G36,G46,G56,G66,G76))/7</f>
        <v>0</v>
      </c>
      <c r="Q16" s="41">
        <f t="shared" ref="Q16:S18" si="0">(SUM(H16,H26,H36,H46,H56,H66,H76))/7</f>
        <v>0.2857142857142857</v>
      </c>
      <c r="R16" s="41">
        <f t="shared" si="0"/>
        <v>0.14285714285714285</v>
      </c>
      <c r="S16" s="41">
        <f t="shared" si="0"/>
        <v>0.14285714285714285</v>
      </c>
      <c r="T16" s="42">
        <f t="shared" ref="T16:T21" si="1">SUM(N16:S16)</f>
        <v>1.2857142857142856</v>
      </c>
    </row>
    <row r="17" spans="3:21" ht="15">
      <c r="C17" s="74"/>
      <c r="D17" s="35" t="s">
        <v>17</v>
      </c>
      <c r="E17" s="35">
        <f>IF(($F$6-E6)&gt;0,1,0)</f>
        <v>0</v>
      </c>
      <c r="F17" s="38"/>
      <c r="G17" s="35">
        <f>IF(($F$6-G6)&gt;0,1,0)</f>
        <v>0</v>
      </c>
      <c r="H17" s="35">
        <f>IF(($F$6-H6)&gt;0,1,0)</f>
        <v>0</v>
      </c>
      <c r="I17" s="35">
        <f>IF(($F$6-I6)&gt;0,1,0)</f>
        <v>0</v>
      </c>
      <c r="J17" s="35">
        <f>IF(($F$6-J6)&gt;0,1,0)</f>
        <v>0</v>
      </c>
      <c r="K17" s="39"/>
      <c r="M17" s="36" t="s">
        <v>17</v>
      </c>
      <c r="N17" s="41">
        <f>(SUM(E17,E27,E37,E47,E57,E67,E77))/7</f>
        <v>0.2857142857142857</v>
      </c>
      <c r="O17" s="40"/>
      <c r="P17" s="41">
        <f>(SUM(G17,G27,G37,G47,G57,G67,G77))/7</f>
        <v>0</v>
      </c>
      <c r="Q17" s="41">
        <f t="shared" si="0"/>
        <v>0.2857142857142857</v>
      </c>
      <c r="R17" s="41">
        <f t="shared" si="0"/>
        <v>0.14285714285714285</v>
      </c>
      <c r="S17" s="41">
        <f t="shared" si="0"/>
        <v>0.14285714285714285</v>
      </c>
      <c r="T17" s="42">
        <f t="shared" si="1"/>
        <v>0.85714285714285698</v>
      </c>
    </row>
    <row r="18" spans="3:21" ht="15">
      <c r="C18" s="74"/>
      <c r="D18" s="35" t="s">
        <v>18</v>
      </c>
      <c r="E18" s="35">
        <f>IF(($G$6-E6)&gt;0,1,0)</f>
        <v>1</v>
      </c>
      <c r="F18" s="35">
        <f>IF(($G$6-F6)&gt;0,1,0)</f>
        <v>1</v>
      </c>
      <c r="G18" s="38"/>
      <c r="H18" s="35">
        <f>IF(($G$6-H6)&gt;0,1,0)</f>
        <v>1</v>
      </c>
      <c r="I18" s="35">
        <f>IF(($G$6-I6)&gt;0,1,0)</f>
        <v>1</v>
      </c>
      <c r="J18" s="35">
        <f>IF(($G$6-J6)&gt;0,1,0)</f>
        <v>0</v>
      </c>
      <c r="K18" s="39"/>
      <c r="M18" s="36" t="s">
        <v>18</v>
      </c>
      <c r="N18" s="41">
        <f>(SUM(E18,E28,E38,E48,E58,E68,E78))/7</f>
        <v>1</v>
      </c>
      <c r="O18" s="41">
        <f>(SUM(F18,F28,F38,F48,F58,F68,F78))/7</f>
        <v>1</v>
      </c>
      <c r="P18" s="40"/>
      <c r="Q18" s="41">
        <f>(SUM(H18,H28,H38,H48,H58,H68,H78))/7</f>
        <v>0.8571428571428571</v>
      </c>
      <c r="R18" s="41">
        <f t="shared" si="0"/>
        <v>0.5714285714285714</v>
      </c>
      <c r="S18" s="41">
        <f t="shared" si="0"/>
        <v>0.2857142857142857</v>
      </c>
      <c r="T18" s="42">
        <f t="shared" si="1"/>
        <v>3.7142857142857144</v>
      </c>
    </row>
    <row r="19" spans="3:21" ht="15">
      <c r="C19" s="74"/>
      <c r="D19" s="35" t="s">
        <v>19</v>
      </c>
      <c r="E19" s="35">
        <f>IF(($H$6-E6)&gt;0,1,0)</f>
        <v>1</v>
      </c>
      <c r="F19" s="35">
        <f>IF(($H$6-F6)&gt;0,1,0)</f>
        <v>1</v>
      </c>
      <c r="G19" s="35">
        <f>IF(($H$6-G6)&gt;0,1,0)</f>
        <v>0</v>
      </c>
      <c r="H19" s="38"/>
      <c r="I19" s="35">
        <f>IF(($H$6-I6)&gt;0,1,0)</f>
        <v>0</v>
      </c>
      <c r="J19" s="35">
        <f>IF(($H$6-J6)&gt;0,1,0)</f>
        <v>0</v>
      </c>
      <c r="K19" s="39"/>
      <c r="M19" s="36" t="s">
        <v>19</v>
      </c>
      <c r="N19" s="41">
        <f>(SUM(E19,E29,E39,E49,E59,E69,E79))/7</f>
        <v>0.5714285714285714</v>
      </c>
      <c r="O19" s="41">
        <f t="shared" ref="N19:S21" si="2">(SUM(F19,F29,F39,F49,F59,F69,F79))/7</f>
        <v>0.5714285714285714</v>
      </c>
      <c r="P19" s="41">
        <f t="shared" si="2"/>
        <v>0.14285714285714285</v>
      </c>
      <c r="Q19" s="40"/>
      <c r="R19" s="41">
        <f t="shared" si="2"/>
        <v>0.14285714285714285</v>
      </c>
      <c r="S19" s="41">
        <f t="shared" si="2"/>
        <v>0</v>
      </c>
      <c r="T19" s="42">
        <f t="shared" si="1"/>
        <v>1.4285714285714284</v>
      </c>
    </row>
    <row r="20" spans="3:21" ht="15">
      <c r="C20" s="74"/>
      <c r="D20" s="35" t="s">
        <v>20</v>
      </c>
      <c r="E20" s="35">
        <f>IF(($I$6-E6)&gt;0,1,0)</f>
        <v>1</v>
      </c>
      <c r="F20" s="35">
        <f>IF(($I$6-F6)&gt;0,1,0)</f>
        <v>1</v>
      </c>
      <c r="G20" s="35">
        <f>IF(($I$6-G6)&gt;0,1,0)</f>
        <v>0</v>
      </c>
      <c r="H20" s="35">
        <f>IF(($I$6-H6)&gt;0,1,0)</f>
        <v>1</v>
      </c>
      <c r="I20" s="38"/>
      <c r="J20" s="35">
        <f>IF(($I$6-J6)&gt;0,1,0)</f>
        <v>0</v>
      </c>
      <c r="K20" s="39"/>
      <c r="M20" s="36" t="s">
        <v>20</v>
      </c>
      <c r="N20" s="41">
        <f>(SUM(E20,E30,E40,E50,E60,E70,E80))/7</f>
        <v>0.5714285714285714</v>
      </c>
      <c r="O20" s="41">
        <f t="shared" si="2"/>
        <v>0.5714285714285714</v>
      </c>
      <c r="P20" s="41">
        <f t="shared" si="2"/>
        <v>0.42857142857142855</v>
      </c>
      <c r="Q20" s="41">
        <f t="shared" si="2"/>
        <v>0.7142857142857143</v>
      </c>
      <c r="R20" s="40"/>
      <c r="S20" s="41">
        <f t="shared" si="2"/>
        <v>0.42857142857142855</v>
      </c>
      <c r="T20" s="42">
        <f t="shared" si="1"/>
        <v>2.714285714285714</v>
      </c>
    </row>
    <row r="21" spans="3:21" ht="15">
      <c r="C21" s="74"/>
      <c r="D21" s="35" t="s">
        <v>21</v>
      </c>
      <c r="E21" s="35">
        <f>IF(($J$6-E6)&gt;0,1,0)</f>
        <v>1</v>
      </c>
      <c r="F21" s="35">
        <f>IF(($J$6-F6)&gt;0,1,0)</f>
        <v>1</v>
      </c>
      <c r="G21" s="35">
        <f>IF(($J$6-G6)&gt;0,1,0)</f>
        <v>1</v>
      </c>
      <c r="H21" s="35">
        <f>IF(($J$6-H6)&gt;0,1,0)</f>
        <v>1</v>
      </c>
      <c r="I21" s="35">
        <f>IF(($J$6-I6)&gt;0,1,0)</f>
        <v>1</v>
      </c>
      <c r="J21" s="38"/>
      <c r="K21" s="39"/>
      <c r="M21" s="36" t="s">
        <v>21</v>
      </c>
      <c r="N21" s="41">
        <f t="shared" si="2"/>
        <v>0.8571428571428571</v>
      </c>
      <c r="O21" s="41">
        <f t="shared" si="2"/>
        <v>0.8571428571428571</v>
      </c>
      <c r="P21" s="41">
        <f t="shared" si="2"/>
        <v>0.7142857142857143</v>
      </c>
      <c r="Q21" s="41">
        <f t="shared" si="2"/>
        <v>0.8571428571428571</v>
      </c>
      <c r="R21" s="41">
        <f t="shared" si="2"/>
        <v>0.5714285714285714</v>
      </c>
      <c r="S21" s="43"/>
      <c r="T21" s="42">
        <f t="shared" si="1"/>
        <v>3.8571428571428568</v>
      </c>
    </row>
    <row r="22" spans="3:21" ht="15">
      <c r="D22" s="21"/>
      <c r="E22" s="39"/>
      <c r="F22" s="39"/>
      <c r="G22" s="39"/>
      <c r="H22" s="39"/>
      <c r="I22" s="39"/>
      <c r="J22" s="39"/>
      <c r="K22" s="39"/>
      <c r="M22" s="37" t="s">
        <v>49</v>
      </c>
      <c r="N22" s="42">
        <f t="shared" ref="N22:S22" si="3">SUM(N16:N21)</f>
        <v>3.2857142857142856</v>
      </c>
      <c r="O22" s="42">
        <f t="shared" si="3"/>
        <v>3.714285714285714</v>
      </c>
      <c r="P22" s="42">
        <f t="shared" si="3"/>
        <v>1.2857142857142856</v>
      </c>
      <c r="Q22" s="42">
        <f t="shared" si="3"/>
        <v>3</v>
      </c>
      <c r="R22" s="42">
        <f t="shared" si="3"/>
        <v>1.5714285714285714</v>
      </c>
      <c r="S22" s="42">
        <f t="shared" si="3"/>
        <v>1</v>
      </c>
    </row>
    <row r="24" spans="3:21" ht="14.25" customHeight="1">
      <c r="C24" s="74" t="s">
        <v>45</v>
      </c>
      <c r="D24" s="75" t="s">
        <v>50</v>
      </c>
      <c r="E24" s="76"/>
      <c r="F24" s="76"/>
      <c r="G24" s="76"/>
      <c r="H24" s="76"/>
      <c r="I24" s="76"/>
      <c r="J24" s="77"/>
      <c r="K24" s="21"/>
      <c r="M24" s="36" t="s">
        <v>51</v>
      </c>
      <c r="N24" s="36" t="s">
        <v>16</v>
      </c>
      <c r="O24" s="36" t="s">
        <v>17</v>
      </c>
      <c r="P24" s="36" t="s">
        <v>18</v>
      </c>
      <c r="Q24" s="36" t="s">
        <v>19</v>
      </c>
      <c r="R24" s="36" t="s">
        <v>20</v>
      </c>
      <c r="S24" s="36" t="s">
        <v>21</v>
      </c>
    </row>
    <row r="25" spans="3:21" ht="15">
      <c r="C25" s="74"/>
      <c r="D25" s="35"/>
      <c r="E25" s="35" t="s">
        <v>16</v>
      </c>
      <c r="F25" s="35" t="s">
        <v>17</v>
      </c>
      <c r="G25" s="35" t="s">
        <v>18</v>
      </c>
      <c r="H25" s="35" t="s">
        <v>19</v>
      </c>
      <c r="I25" s="35" t="s">
        <v>20</v>
      </c>
      <c r="J25" s="35" t="s">
        <v>21</v>
      </c>
      <c r="K25" s="21"/>
      <c r="M25" s="36" t="s">
        <v>48</v>
      </c>
      <c r="N25" s="44">
        <f>T16</f>
        <v>1.2857142857142856</v>
      </c>
      <c r="O25" s="44">
        <f>T17</f>
        <v>0.85714285714285698</v>
      </c>
      <c r="P25" s="44">
        <f>T18</f>
        <v>3.7142857142857144</v>
      </c>
      <c r="Q25" s="44">
        <f>T19</f>
        <v>1.4285714285714284</v>
      </c>
      <c r="R25" s="44">
        <f>T20</f>
        <v>2.714285714285714</v>
      </c>
      <c r="S25" s="44">
        <f>T21</f>
        <v>3.8571428571428568</v>
      </c>
    </row>
    <row r="26" spans="3:21" ht="15">
      <c r="C26" s="74"/>
      <c r="D26" s="35" t="s">
        <v>16</v>
      </c>
      <c r="E26" s="38"/>
      <c r="F26" s="35">
        <f>IF(($E$7-F7)&gt;0,1,0)</f>
        <v>0</v>
      </c>
      <c r="G26" s="35">
        <f>IF(($E$7-G7)&gt;0,1,0)</f>
        <v>0</v>
      </c>
      <c r="H26" s="35">
        <f>IF(($E$7-H7)&gt;0,1,0)</f>
        <v>0</v>
      </c>
      <c r="I26" s="35">
        <f>IF(($E$7-I7)&gt;0,1,0)</f>
        <v>0</v>
      </c>
      <c r="J26" s="35">
        <f>IF(($E$7-J7)&gt;0,1,0)</f>
        <v>0</v>
      </c>
      <c r="K26" s="21"/>
      <c r="M26" s="36" t="s">
        <v>49</v>
      </c>
      <c r="N26" s="44">
        <f t="shared" ref="N26:S26" si="4">N22</f>
        <v>3.2857142857142856</v>
      </c>
      <c r="O26" s="44">
        <f t="shared" si="4"/>
        <v>3.714285714285714</v>
      </c>
      <c r="P26" s="44">
        <f t="shared" si="4"/>
        <v>1.2857142857142856</v>
      </c>
      <c r="Q26" s="44">
        <f t="shared" si="4"/>
        <v>3</v>
      </c>
      <c r="R26" s="44">
        <f t="shared" si="4"/>
        <v>1.5714285714285714</v>
      </c>
      <c r="S26" s="44">
        <f t="shared" si="4"/>
        <v>1</v>
      </c>
    </row>
    <row r="27" spans="3:21" ht="18">
      <c r="C27" s="74"/>
      <c r="D27" s="35" t="s">
        <v>17</v>
      </c>
      <c r="E27" s="35">
        <f>IF(($F$7-E6)&gt;0,1,0)</f>
        <v>1</v>
      </c>
      <c r="F27" s="38"/>
      <c r="G27" s="35">
        <f>IF(($F$7-G7)&gt;0,1,0)</f>
        <v>0</v>
      </c>
      <c r="H27" s="35">
        <f>IF(($F$7-H7)&gt;0,1,0)</f>
        <v>0</v>
      </c>
      <c r="I27" s="35">
        <f>IF(($F$7-I7)&gt;0,1,0)</f>
        <v>0</v>
      </c>
      <c r="J27" s="35">
        <f>IF(($F$7-J7)&gt;0,1,0)</f>
        <v>0</v>
      </c>
      <c r="K27" s="21"/>
      <c r="M27" s="37" t="s">
        <v>52</v>
      </c>
      <c r="N27" s="45">
        <f t="shared" ref="N27:S27" si="5">N25-N26</f>
        <v>-2</v>
      </c>
      <c r="O27" s="45">
        <f t="shared" si="5"/>
        <v>-2.8571428571428568</v>
      </c>
      <c r="P27" s="45">
        <f t="shared" si="5"/>
        <v>2.4285714285714288</v>
      </c>
      <c r="Q27" s="45">
        <f t="shared" si="5"/>
        <v>-1.5714285714285716</v>
      </c>
      <c r="R27" s="45">
        <f t="shared" si="5"/>
        <v>1.1428571428571426</v>
      </c>
      <c r="S27" s="45">
        <f t="shared" si="5"/>
        <v>2.8571428571428568</v>
      </c>
    </row>
    <row r="28" spans="3:21">
      <c r="C28" s="74"/>
      <c r="D28" s="35" t="s">
        <v>18</v>
      </c>
      <c r="E28" s="35">
        <f>IF(($G$7-E7)&gt;0,1,0)</f>
        <v>1</v>
      </c>
      <c r="F28" s="35">
        <f>IF(($G$7-F7)&gt;0,1,0)</f>
        <v>1</v>
      </c>
      <c r="G28" s="38"/>
      <c r="H28" s="35">
        <f>IF(($G$7-H7)&gt;0,1,0)</f>
        <v>0</v>
      </c>
      <c r="I28" s="35">
        <f>IF(($G$7-I7)&gt;0,1,0)</f>
        <v>1</v>
      </c>
      <c r="J28" s="35">
        <f>IF(($G$7-J7)&gt;0,1,0)</f>
        <v>0</v>
      </c>
      <c r="K28" s="21"/>
    </row>
    <row r="29" spans="3:21">
      <c r="C29" s="74"/>
      <c r="D29" s="35" t="s">
        <v>19</v>
      </c>
      <c r="E29" s="35">
        <f>IF(($H$7-E7)&gt;0,1,0)</f>
        <v>1</v>
      </c>
      <c r="F29" s="35">
        <f>IF(($H$7-F7)&gt;0,1,0)</f>
        <v>1</v>
      </c>
      <c r="G29" s="35">
        <f>IF(($H$7-G7)&gt;0,1,0)</f>
        <v>0</v>
      </c>
      <c r="H29" s="38"/>
      <c r="I29" s="35">
        <f>IF(($H$7-I7)&gt;0,1,0)</f>
        <v>1</v>
      </c>
      <c r="J29" s="35">
        <f>IF(($H$7-J7)&gt;0,1,0)</f>
        <v>0</v>
      </c>
      <c r="K29" s="39"/>
    </row>
    <row r="30" spans="3:21" ht="15">
      <c r="C30" s="74"/>
      <c r="D30" s="35" t="s">
        <v>20</v>
      </c>
      <c r="E30" s="35">
        <f>IF(($I$7-E7)&gt;0,1,0)</f>
        <v>0</v>
      </c>
      <c r="F30" s="35">
        <f>IF(($I$7-F7)&gt;0,1,0)</f>
        <v>0</v>
      </c>
      <c r="G30" s="35">
        <f>IF(($I$7-G7)&gt;0,1,0)</f>
        <v>0</v>
      </c>
      <c r="H30" s="35">
        <f>IF(($I$7-H7)&gt;0,1,0)</f>
        <v>0</v>
      </c>
      <c r="I30" s="38"/>
      <c r="J30" s="35">
        <f>IF(($I$7-J7)&gt;0,1,0)</f>
        <v>0</v>
      </c>
      <c r="K30" s="46"/>
      <c r="M30" s="78" t="s">
        <v>53</v>
      </c>
      <c r="N30" s="78"/>
      <c r="O30" s="78"/>
      <c r="P30" s="78"/>
      <c r="Q30" s="78"/>
      <c r="R30" s="78"/>
      <c r="S30" s="78"/>
      <c r="U30" s="37" t="s">
        <v>8</v>
      </c>
    </row>
    <row r="31" spans="3:21" ht="15">
      <c r="C31" s="74"/>
      <c r="D31" s="35" t="s">
        <v>21</v>
      </c>
      <c r="E31" s="35">
        <f>IF(($J$7-E7)&gt;0,1,0)</f>
        <v>1</v>
      </c>
      <c r="F31" s="35">
        <f>IF(($J$7-F7)&gt;0,1,0)</f>
        <v>1</v>
      </c>
      <c r="G31" s="35">
        <f>IF(($J$7-G7)&gt;0,1,0)</f>
        <v>0</v>
      </c>
      <c r="H31" s="35">
        <f>IF(($J$7-H7)&gt;0,1,0)</f>
        <v>0</v>
      </c>
      <c r="I31" s="35">
        <f>IF(($J$7-I7)&gt;0,1,0)</f>
        <v>1</v>
      </c>
      <c r="J31" s="38"/>
      <c r="K31" s="39"/>
      <c r="M31" s="36" t="s">
        <v>54</v>
      </c>
      <c r="N31" s="36" t="s">
        <v>16</v>
      </c>
      <c r="O31" s="36" t="s">
        <v>17</v>
      </c>
      <c r="P31" s="36" t="s">
        <v>18</v>
      </c>
      <c r="Q31" s="36" t="s">
        <v>19</v>
      </c>
      <c r="R31" s="36" t="s">
        <v>20</v>
      </c>
      <c r="S31" s="36" t="s">
        <v>21</v>
      </c>
      <c r="T31" s="37" t="s">
        <v>48</v>
      </c>
      <c r="U31" s="42">
        <f>'Pesos SAATY'!AK3</f>
        <v>0.13952874663691719</v>
      </c>
    </row>
    <row r="32" spans="3:21" ht="15">
      <c r="D32" s="47"/>
      <c r="E32" s="47"/>
      <c r="F32" s="47"/>
      <c r="G32" s="47"/>
      <c r="H32" s="47"/>
      <c r="I32" s="47"/>
      <c r="J32" s="47"/>
      <c r="K32" s="39"/>
      <c r="M32" s="36" t="s">
        <v>16</v>
      </c>
      <c r="N32" s="48"/>
      <c r="O32" s="41">
        <f>(SUM($U$31*F16,$U$32*F26,$U$33*F36,$U$34*F46,$U$35*F56,$U$36*F66,$U$37*F76))/7</f>
        <v>7.0403739201505028E-2</v>
      </c>
      <c r="P32" s="41">
        <f>(SUM($U$31*G16,$U$32*G26,$U$33*G36,$U$34*G46,$U$35*G56,$U$36*G66,$U$37*G76))/7</f>
        <v>0</v>
      </c>
      <c r="Q32" s="41">
        <f>(SUM($U$31*H16,$U$32*H26,$U$33*H36,$U$34*H46,$U$35*H56,$U$36*H66,$U$37*H76))/7</f>
        <v>2.9273512278780962E-2</v>
      </c>
      <c r="R32" s="41">
        <f>(SUM($U$31*I16,$U$32*I26,$U$33*I36,$U$34*I46,$U$35*I56,$U$36*I66,$U$37*I76))/7</f>
        <v>2.2368946527144763E-2</v>
      </c>
      <c r="S32" s="41">
        <f>(SUM($U$31*J16,$U$32*J26,$U$33*J36,$U$34*J46,$U$35*J56,$U$36*J66,$U$37*J76))/7</f>
        <v>2.2368946527144763E-2</v>
      </c>
      <c r="T32" s="49">
        <f t="shared" ref="T32:T37" si="6">SUM(N32:S32)</f>
        <v>0.14441514453457552</v>
      </c>
      <c r="U32" s="42">
        <f>'Pesos SAATY'!AK4</f>
        <v>0.31369549624900245</v>
      </c>
    </row>
    <row r="33" spans="3:21" ht="15">
      <c r="D33" s="50"/>
      <c r="E33" s="50"/>
      <c r="F33" s="50"/>
      <c r="G33" s="50"/>
      <c r="H33" s="50"/>
      <c r="I33" s="50"/>
      <c r="J33" s="50"/>
      <c r="K33" s="39"/>
      <c r="M33" s="36" t="s">
        <v>17</v>
      </c>
      <c r="N33" s="41">
        <f>(SUM($U$31*E17,$U$32*E27,$U$33*E37,$U$34*E47,$U$35*E57,$U$36*E67,$U$37*E77))/7</f>
        <v>5.1718208072922267E-2</v>
      </c>
      <c r="O33" s="48"/>
      <c r="P33" s="41">
        <f>(SUM($U$31*G17,$U$32*G27,$U$33*G37,$U$34*G47,$U$35*G57,$U$36*G67,$U$37*G77))/7</f>
        <v>0</v>
      </c>
      <c r="Q33" s="41">
        <f t="shared" ref="Q33:S34" si="7">(SUM($U$31*H17,$U$32*H27,$U$33*H37,$U$34*H47,$U$35*H57,$U$36*H67,$U$37*H77))/7</f>
        <v>2.9273512278780962E-2</v>
      </c>
      <c r="R33" s="41">
        <f t="shared" si="7"/>
        <v>2.2368946527144763E-2</v>
      </c>
      <c r="S33" s="41">
        <f t="shared" si="7"/>
        <v>2.2368946527144763E-2</v>
      </c>
      <c r="T33" s="49">
        <f t="shared" si="6"/>
        <v>0.12572961340599276</v>
      </c>
      <c r="U33" s="42">
        <f>'Pesos SAATY'!AK5</f>
        <v>0.19347832934046238</v>
      </c>
    </row>
    <row r="34" spans="3:21" ht="15" customHeight="1">
      <c r="C34" s="74" t="s">
        <v>45</v>
      </c>
      <c r="D34" s="75" t="s">
        <v>55</v>
      </c>
      <c r="E34" s="76"/>
      <c r="F34" s="76"/>
      <c r="G34" s="76"/>
      <c r="H34" s="76"/>
      <c r="I34" s="76"/>
      <c r="J34" s="77"/>
      <c r="K34" s="39"/>
      <c r="M34" s="36" t="s">
        <v>18</v>
      </c>
      <c r="N34" s="41">
        <f>(SUM($U$31*E18,$U$32*E28,$U$33*E38,$U$34*E48,$U$35*E58,$U$36*E68,$U$37*E78))/7</f>
        <v>0.14285714285714285</v>
      </c>
      <c r="O34" s="41">
        <f>(SUM($U$31*F18,$U$32*F28,$U$33*F38,$U$34*F48,$U$35*F58,$U$36*F68,$U$37*F78))/7</f>
        <v>0.14285714285714285</v>
      </c>
      <c r="P34" s="48"/>
      <c r="Q34" s="41">
        <f>(SUM($U$31*H18,$U$32*H28,$U$33*H38,$U$34*H48,$U$35*H58,$U$36*H68,$U$37*H78))/7</f>
        <v>9.8043500535856795E-2</v>
      </c>
      <c r="R34" s="41">
        <f t="shared" si="7"/>
        <v>0.11475502827377078</v>
      </c>
      <c r="S34" s="41">
        <f t="shared" si="7"/>
        <v>3.2967720943012709E-2</v>
      </c>
      <c r="T34" s="49">
        <f t="shared" si="6"/>
        <v>0.53148053546692597</v>
      </c>
      <c r="U34" s="42">
        <f>'Pesos SAATY'!AK6</f>
        <v>7.4191420911075653E-2</v>
      </c>
    </row>
    <row r="35" spans="3:21" ht="15">
      <c r="C35" s="74"/>
      <c r="D35" s="35"/>
      <c r="E35" s="35" t="s">
        <v>16</v>
      </c>
      <c r="F35" s="35" t="s">
        <v>17</v>
      </c>
      <c r="G35" s="35" t="s">
        <v>18</v>
      </c>
      <c r="H35" s="35" t="s">
        <v>19</v>
      </c>
      <c r="I35" s="35" t="s">
        <v>20</v>
      </c>
      <c r="J35" s="35" t="s">
        <v>21</v>
      </c>
      <c r="K35" s="39"/>
      <c r="M35" s="36" t="s">
        <v>19</v>
      </c>
      <c r="N35" s="41">
        <f>(SUM($U$31*E19,$U$32*E29,$U$33*E39,$U$34*E49,$U$35*E59,$U$36*E69,$U$37*E79))/7</f>
        <v>8.5943869244010138E-2</v>
      </c>
      <c r="O35" s="41">
        <f t="shared" ref="N35:S37" si="8">(SUM($U$31*F19,$U$32*F29,$U$33*F39,$U$34*F49,$U$35*F59,$U$36*F69,$U$37*F79))/7</f>
        <v>8.5943869244010138E-2</v>
      </c>
      <c r="P35" s="41">
        <f t="shared" si="8"/>
        <v>1.0598774415867951E-2</v>
      </c>
      <c r="Q35" s="48"/>
      <c r="R35" s="41">
        <f t="shared" si="8"/>
        <v>4.4813642321286061E-2</v>
      </c>
      <c r="S35" s="41">
        <f t="shared" si="8"/>
        <v>0</v>
      </c>
      <c r="T35" s="49">
        <f t="shared" si="6"/>
        <v>0.2273001552251743</v>
      </c>
      <c r="U35" s="42">
        <f>'Pesos SAATY'!AK7</f>
        <v>7.4191420911075653E-2</v>
      </c>
    </row>
    <row r="36" spans="3:21" ht="15">
      <c r="C36" s="74"/>
      <c r="D36" s="35" t="s">
        <v>16</v>
      </c>
      <c r="E36" s="38"/>
      <c r="F36" s="35">
        <f>IF(($E$8-F8)&gt;0,1,0)</f>
        <v>0</v>
      </c>
      <c r="G36" s="35">
        <f>IF(($E$8-G8)&gt;0,1,0)</f>
        <v>0</v>
      </c>
      <c r="H36" s="35">
        <f>IF(($E$8-H8)&gt;0,1,0)</f>
        <v>0</v>
      </c>
      <c r="I36" s="35">
        <f>IF(($E$8-I8)&gt;0,1,0)</f>
        <v>0</v>
      </c>
      <c r="J36" s="35">
        <f>IF(($E$8-J8)&gt;0,1,0)</f>
        <v>0</v>
      </c>
      <c r="K36" s="39"/>
      <c r="M36" s="36" t="s">
        <v>20</v>
      </c>
      <c r="N36" s="41">
        <f>(SUM($U$31*E20,$U$32*E30,$U$33*E40,$U$34*E50,$U$35*E60,$U$36*E70,$U$37*E80))/7</f>
        <v>4.8034792674360276E-2</v>
      </c>
      <c r="O36" s="41">
        <f t="shared" si="8"/>
        <v>4.8034792674360276E-2</v>
      </c>
      <c r="P36" s="41">
        <f>(SUM($U$31*G20,$U$32*G30,$U$33*G40,$U$34*G50,$U$35*G60,$U$36*G70,$U$37*G80))/7</f>
        <v>2.8102114583372102E-2</v>
      </c>
      <c r="Q36" s="41">
        <f t="shared" si="8"/>
        <v>7.0403739201505028E-2</v>
      </c>
      <c r="R36" s="48"/>
      <c r="S36" s="41">
        <f t="shared" si="8"/>
        <v>2.8102114583372102E-2</v>
      </c>
      <c r="T36" s="49">
        <f t="shared" si="6"/>
        <v>0.22267755371696979</v>
      </c>
      <c r="U36" s="42">
        <f>'Pesos SAATY'!AK8</f>
        <v>4.8331960261453401E-2</v>
      </c>
    </row>
    <row r="37" spans="3:21" ht="15">
      <c r="C37" s="74"/>
      <c r="D37" s="35" t="s">
        <v>17</v>
      </c>
      <c r="E37" s="35">
        <f>IF(($F$8-E8)&gt;0,1,0)</f>
        <v>0</v>
      </c>
      <c r="F37" s="38"/>
      <c r="G37" s="35">
        <f>IF(($F$8-G8)&gt;0,1,0)</f>
        <v>0</v>
      </c>
      <c r="H37" s="35">
        <f>IF(($F$8-H8)&gt;0,1,0)</f>
        <v>0</v>
      </c>
      <c r="I37" s="35">
        <f>IF(($F$8-I8)&gt;0,1,0)</f>
        <v>0</v>
      </c>
      <c r="J37" s="35">
        <f>IF(($F$8-J8)&gt;0,1,0)</f>
        <v>0</v>
      </c>
      <c r="K37" s="39"/>
      <c r="M37" s="36" t="s">
        <v>21</v>
      </c>
      <c r="N37" s="41">
        <f t="shared" si="8"/>
        <v>0.1204881963299981</v>
      </c>
      <c r="O37" s="41">
        <f t="shared" si="8"/>
        <v>0.1204881963299981</v>
      </c>
      <c r="P37" s="41">
        <f t="shared" si="8"/>
        <v>7.5674554008712036E-2</v>
      </c>
      <c r="Q37" s="41">
        <f t="shared" si="8"/>
        <v>9.8043500535856795E-2</v>
      </c>
      <c r="R37" s="41">
        <f t="shared" si="8"/>
        <v>0.11475502827377078</v>
      </c>
      <c r="S37" s="51"/>
      <c r="T37" s="49">
        <f t="shared" si="6"/>
        <v>0.52944947547833587</v>
      </c>
      <c r="U37" s="42">
        <f>'Pesos SAATY'!AK9</f>
        <v>0.15658262569001333</v>
      </c>
    </row>
    <row r="38" spans="3:21" ht="15">
      <c r="C38" s="74"/>
      <c r="D38" s="35" t="s">
        <v>18</v>
      </c>
      <c r="E38" s="35">
        <f>IF(($G$8-E8)&gt;0,1,0)</f>
        <v>1</v>
      </c>
      <c r="F38" s="35">
        <f>IF(($G$8-F8)&gt;0,1,0)</f>
        <v>1</v>
      </c>
      <c r="G38" s="38"/>
      <c r="H38" s="35">
        <f>IF(($G$8-H8)&gt;0,1,0)</f>
        <v>1</v>
      </c>
      <c r="I38" s="35">
        <f>IF(($G$8-I8)&gt;0,1,0)</f>
        <v>1</v>
      </c>
      <c r="J38" s="35">
        <f>IF(($G$8-J8)&gt;0,1,0)</f>
        <v>0</v>
      </c>
      <c r="K38" s="46"/>
      <c r="M38" s="37" t="s">
        <v>49</v>
      </c>
      <c r="N38" s="49">
        <f t="shared" ref="N38:S38" si="9">SUM(N32:N37)</f>
        <v>0.44904220917843363</v>
      </c>
      <c r="O38" s="49">
        <f t="shared" si="9"/>
        <v>0.46772774030701636</v>
      </c>
      <c r="P38" s="49">
        <f t="shared" si="9"/>
        <v>0.11437544300795209</v>
      </c>
      <c r="Q38" s="49">
        <f t="shared" si="9"/>
        <v>0.32503776483078056</v>
      </c>
      <c r="R38" s="49">
        <f t="shared" si="9"/>
        <v>0.31906159192311717</v>
      </c>
      <c r="S38" s="49">
        <f t="shared" si="9"/>
        <v>0.10580772858067433</v>
      </c>
    </row>
    <row r="39" spans="3:21">
      <c r="C39" s="74"/>
      <c r="D39" s="35" t="s">
        <v>19</v>
      </c>
      <c r="E39" s="35">
        <f>IF(($H$8-E8)&gt;0,1,0)</f>
        <v>0</v>
      </c>
      <c r="F39" s="35">
        <f>IF(($H$8-F8)&gt;0,1,0)</f>
        <v>0</v>
      </c>
      <c r="G39" s="35">
        <f>IF(($H$8-G8)&gt;0,1,0)</f>
        <v>0</v>
      </c>
      <c r="H39" s="38"/>
      <c r="I39" s="35">
        <f>IF(($H$8-I8)&gt;0,1,0)</f>
        <v>0</v>
      </c>
      <c r="J39" s="35">
        <f>IF(($H$8-J8)&gt;0,1,0)</f>
        <v>0</v>
      </c>
      <c r="K39" s="39"/>
      <c r="M39" s="19"/>
      <c r="N39" s="49"/>
      <c r="O39" s="49"/>
      <c r="P39" s="49"/>
      <c r="Q39" s="49"/>
      <c r="R39" s="49"/>
      <c r="S39" s="52"/>
    </row>
    <row r="40" spans="3:21" ht="15">
      <c r="C40" s="74"/>
      <c r="D40" s="35" t="s">
        <v>20</v>
      </c>
      <c r="E40" s="35">
        <f>IF(($I$8-E8)&gt;0,1,0)</f>
        <v>0</v>
      </c>
      <c r="F40" s="35">
        <f>IF(($I$8-F8)&gt;0,1,0)</f>
        <v>0</v>
      </c>
      <c r="G40" s="35">
        <f>IF(($I$8-G8)&gt;0,1,0)</f>
        <v>0</v>
      </c>
      <c r="H40" s="35">
        <f>IF(($I$8-H8)&gt;0,1,0)</f>
        <v>0</v>
      </c>
      <c r="I40" s="38"/>
      <c r="J40" s="35">
        <f>IF(($I$8-J8)&gt;0,1,0)</f>
        <v>0</v>
      </c>
      <c r="K40" s="39"/>
      <c r="M40" s="36" t="s">
        <v>51</v>
      </c>
      <c r="N40" s="36" t="s">
        <v>16</v>
      </c>
      <c r="O40" s="36" t="s">
        <v>17</v>
      </c>
      <c r="P40" s="36" t="s">
        <v>18</v>
      </c>
      <c r="Q40" s="36" t="s">
        <v>19</v>
      </c>
      <c r="R40" s="36" t="s">
        <v>20</v>
      </c>
      <c r="S40" s="36" t="s">
        <v>21</v>
      </c>
    </row>
    <row r="41" spans="3:21" ht="15">
      <c r="C41" s="74"/>
      <c r="D41" s="35" t="s">
        <v>21</v>
      </c>
      <c r="E41" s="35">
        <f>IF(($J$8-E8)&gt;0,1,0)</f>
        <v>1</v>
      </c>
      <c r="F41" s="35">
        <f>IF(($J$8-F8)&gt;0,1,0)</f>
        <v>1</v>
      </c>
      <c r="G41" s="35">
        <f>IF(($J$8-G8)&gt;0,1,0)</f>
        <v>1</v>
      </c>
      <c r="H41" s="35">
        <f>IF(($J$8-H8)&gt;0,1,0)</f>
        <v>1</v>
      </c>
      <c r="I41" s="35">
        <f>IF(($J$8-I8)&gt;0,1,0)</f>
        <v>1</v>
      </c>
      <c r="J41" s="38"/>
      <c r="K41" s="39"/>
      <c r="M41" s="36" t="s">
        <v>48</v>
      </c>
      <c r="N41" s="41">
        <f>T32</f>
        <v>0.14441514453457552</v>
      </c>
      <c r="O41" s="41">
        <f>T33</f>
        <v>0.12572961340599276</v>
      </c>
      <c r="P41" s="41">
        <f>T34</f>
        <v>0.53148053546692597</v>
      </c>
      <c r="Q41" s="41">
        <f>T35</f>
        <v>0.2273001552251743</v>
      </c>
      <c r="R41" s="41">
        <f>T36</f>
        <v>0.22267755371696979</v>
      </c>
      <c r="S41" s="41">
        <f>T37</f>
        <v>0.52944947547833587</v>
      </c>
    </row>
    <row r="42" spans="3:21" ht="15">
      <c r="D42" s="47"/>
      <c r="E42" s="47"/>
      <c r="F42" s="47"/>
      <c r="G42" s="47"/>
      <c r="H42" s="47"/>
      <c r="I42" s="47"/>
      <c r="J42" s="47"/>
      <c r="K42" s="39"/>
      <c r="M42" s="36" t="s">
        <v>49</v>
      </c>
      <c r="N42" s="41">
        <f t="shared" ref="N42:S42" si="10">N38</f>
        <v>0.44904220917843363</v>
      </c>
      <c r="O42" s="41">
        <f t="shared" si="10"/>
        <v>0.46772774030701636</v>
      </c>
      <c r="P42" s="41">
        <f t="shared" si="10"/>
        <v>0.11437544300795209</v>
      </c>
      <c r="Q42" s="41">
        <f t="shared" si="10"/>
        <v>0.32503776483078056</v>
      </c>
      <c r="R42" s="41">
        <f t="shared" si="10"/>
        <v>0.31906159192311717</v>
      </c>
      <c r="S42" s="41">
        <f t="shared" si="10"/>
        <v>0.10580772858067433</v>
      </c>
    </row>
    <row r="43" spans="3:21" ht="18">
      <c r="D43" s="39"/>
      <c r="E43" s="39"/>
      <c r="F43" s="39"/>
      <c r="G43" s="39"/>
      <c r="H43" s="39"/>
      <c r="I43" s="39"/>
      <c r="J43" s="39"/>
      <c r="K43" s="39"/>
      <c r="M43" s="37" t="s">
        <v>52</v>
      </c>
      <c r="N43" s="54">
        <f t="shared" ref="N43:S43" si="11">N41-N42</f>
        <v>-0.30462706464385814</v>
      </c>
      <c r="O43" s="54">
        <f t="shared" si="11"/>
        <v>-0.3419981269010236</v>
      </c>
      <c r="P43" s="54">
        <f t="shared" si="11"/>
        <v>0.41710509245897387</v>
      </c>
      <c r="Q43" s="54">
        <f t="shared" si="11"/>
        <v>-9.7737609605606263E-2</v>
      </c>
      <c r="R43" s="54">
        <f t="shared" si="11"/>
        <v>-9.6384038206147382E-2</v>
      </c>
      <c r="S43" s="54">
        <f t="shared" si="11"/>
        <v>0.42364174689766154</v>
      </c>
    </row>
    <row r="44" spans="3:21">
      <c r="C44" s="74" t="s">
        <v>56</v>
      </c>
      <c r="D44" s="75" t="s">
        <v>57</v>
      </c>
      <c r="E44" s="76"/>
      <c r="F44" s="76"/>
      <c r="G44" s="76"/>
      <c r="H44" s="76"/>
      <c r="I44" s="76"/>
      <c r="J44" s="77"/>
      <c r="K44" s="39"/>
    </row>
    <row r="45" spans="3:21">
      <c r="C45" s="74"/>
      <c r="D45" s="35"/>
      <c r="E45" s="35" t="s">
        <v>16</v>
      </c>
      <c r="F45" s="35" t="s">
        <v>17</v>
      </c>
      <c r="G45" s="35" t="s">
        <v>18</v>
      </c>
      <c r="H45" s="35" t="s">
        <v>19</v>
      </c>
      <c r="I45" s="35" t="s">
        <v>20</v>
      </c>
      <c r="J45" s="35" t="s">
        <v>21</v>
      </c>
      <c r="K45" s="46"/>
    </row>
    <row r="46" spans="3:21">
      <c r="C46" s="74"/>
      <c r="D46" s="35" t="s">
        <v>16</v>
      </c>
      <c r="E46" s="38"/>
      <c r="F46" s="35">
        <f>IF(($E$9-F9)&gt;0,0,1)</f>
        <v>1</v>
      </c>
      <c r="G46" s="35">
        <f>IF(($E$9-G9)&gt;0,0,1)</f>
        <v>0</v>
      </c>
      <c r="H46" s="35">
        <f>IF(($E$9-H9)&gt;0,0,1)</f>
        <v>0</v>
      </c>
      <c r="I46" s="35">
        <f>IF(($E$9-I9)&gt;0,0,1)</f>
        <v>0</v>
      </c>
      <c r="J46" s="35">
        <f>IF(($E$9-J9)&gt;0,0,1)</f>
        <v>0</v>
      </c>
    </row>
    <row r="47" spans="3:21">
      <c r="C47" s="74"/>
      <c r="D47" s="35" t="s">
        <v>17</v>
      </c>
      <c r="E47" s="35">
        <f>IF(($F$9-E9)&gt;0,0,1)</f>
        <v>0</v>
      </c>
      <c r="F47" s="38"/>
      <c r="G47" s="35">
        <f>IF(($F$9-G9)&gt;0,0,1)</f>
        <v>0</v>
      </c>
      <c r="H47" s="35">
        <f>IF(($F$9-H9)&gt;0,0,1)</f>
        <v>0</v>
      </c>
      <c r="I47" s="35">
        <f>IF(($F$9-I9)&gt;0,0,1)</f>
        <v>0</v>
      </c>
      <c r="J47" s="35">
        <f>IF(($F$9-J9)&gt;0,0,1)</f>
        <v>0</v>
      </c>
    </row>
    <row r="48" spans="3:21">
      <c r="C48" s="74"/>
      <c r="D48" s="35" t="s">
        <v>18</v>
      </c>
      <c r="E48" s="35">
        <f>IF(($G$9-E9)&gt;0,0,1)</f>
        <v>1</v>
      </c>
      <c r="F48" s="35">
        <f>IF(($G$9-F9)&gt;0,0,1)</f>
        <v>1</v>
      </c>
      <c r="G48" s="38"/>
      <c r="H48" s="35">
        <f>IF(($G$9-H9)&gt;0,0,1)</f>
        <v>1</v>
      </c>
      <c r="I48" s="35">
        <f>IF(($G$9-I9)&gt;0,0,1)</f>
        <v>0</v>
      </c>
      <c r="J48" s="35">
        <f>IF(($G$9-J9)&gt;0,0,1)</f>
        <v>0</v>
      </c>
    </row>
    <row r="49" spans="3:10">
      <c r="C49" s="74"/>
      <c r="D49" s="35" t="s">
        <v>19</v>
      </c>
      <c r="E49" s="35">
        <f>IF(($H$9-E9)&gt;0,0,1)</f>
        <v>1</v>
      </c>
      <c r="F49" s="35">
        <f>IF(($H$9-F9)&gt;0,0,1)</f>
        <v>1</v>
      </c>
      <c r="G49" s="35">
        <f>IF(($H$9-G9)&gt;0,0,1)</f>
        <v>1</v>
      </c>
      <c r="H49" s="38"/>
      <c r="I49" s="35">
        <f>IF(($H$9-I9)&gt;0,0,1)</f>
        <v>0</v>
      </c>
      <c r="J49" s="35">
        <f>IF(($H$9-J9)&gt;0,0,1)</f>
        <v>0</v>
      </c>
    </row>
    <row r="50" spans="3:10">
      <c r="C50" s="74"/>
      <c r="D50" s="35" t="s">
        <v>20</v>
      </c>
      <c r="E50" s="35">
        <f>IF(($I$9-E9)&gt;0,0,1)</f>
        <v>1</v>
      </c>
      <c r="F50" s="35">
        <f>IF(($I$9-F9)&gt;0,0,1)</f>
        <v>1</v>
      </c>
      <c r="G50" s="35">
        <f>IF(($I$9-G9)&gt;0,0,1)</f>
        <v>1</v>
      </c>
      <c r="H50" s="35">
        <f>IF(($I$9-H9)&gt;0,0,1)</f>
        <v>1</v>
      </c>
      <c r="I50" s="38"/>
      <c r="J50" s="35">
        <f>IF(($I$9-J9)&gt;0,0,1)</f>
        <v>1</v>
      </c>
    </row>
    <row r="51" spans="3:10">
      <c r="C51" s="74"/>
      <c r="D51" s="35" t="s">
        <v>21</v>
      </c>
      <c r="E51" s="35">
        <f>IF(($J$9-E9)&gt;0,0,1)</f>
        <v>1</v>
      </c>
      <c r="F51" s="35">
        <f>IF(($J$9-F9)&gt;0,0,1)</f>
        <v>1</v>
      </c>
      <c r="G51" s="35">
        <f>IF(($J$9-G9)&gt;0,0,1)</f>
        <v>1</v>
      </c>
      <c r="H51" s="35">
        <f>IF(($J$9-H9)&gt;0,0,1)</f>
        <v>1</v>
      </c>
      <c r="I51" s="35">
        <f>IF(($J$9-I9)&gt;0,0,1)</f>
        <v>0</v>
      </c>
      <c r="J51" s="38"/>
    </row>
    <row r="52" spans="3:10">
      <c r="D52" s="39"/>
      <c r="E52" s="39"/>
      <c r="F52" s="39"/>
      <c r="G52" s="39"/>
      <c r="H52" s="39"/>
      <c r="I52" s="39"/>
      <c r="J52" s="39"/>
    </row>
    <row r="54" spans="3:10">
      <c r="C54" s="74" t="s">
        <v>56</v>
      </c>
      <c r="D54" s="75" t="s">
        <v>58</v>
      </c>
      <c r="E54" s="76"/>
      <c r="F54" s="76"/>
      <c r="G54" s="76"/>
      <c r="H54" s="76"/>
      <c r="I54" s="76"/>
      <c r="J54" s="77"/>
    </row>
    <row r="55" spans="3:10">
      <c r="C55" s="74"/>
      <c r="D55" s="35"/>
      <c r="E55" s="35" t="s">
        <v>16</v>
      </c>
      <c r="F55" s="35" t="s">
        <v>17</v>
      </c>
      <c r="G55" s="35" t="s">
        <v>18</v>
      </c>
      <c r="H55" s="35" t="s">
        <v>19</v>
      </c>
      <c r="I55" s="35" t="s">
        <v>20</v>
      </c>
      <c r="J55" s="35" t="s">
        <v>21</v>
      </c>
    </row>
    <row r="56" spans="3:10">
      <c r="C56" s="74"/>
      <c r="D56" s="35" t="s">
        <v>16</v>
      </c>
      <c r="E56" s="38"/>
      <c r="F56" s="35">
        <f>IF(($E$10-F10)&gt;0,0,1)</f>
        <v>1</v>
      </c>
      <c r="G56" s="35">
        <f>IF(($E$10-G10)&gt;0,0,1)</f>
        <v>0</v>
      </c>
      <c r="H56" s="35">
        <f>IF(($E$10-H10)&gt;0,0,1)</f>
        <v>0</v>
      </c>
      <c r="I56" s="35">
        <f>IF(($E$10-I10)&gt;0,0,1)</f>
        <v>0</v>
      </c>
      <c r="J56" s="35">
        <f>IF(($E$10-J10)&gt;0,0,1)</f>
        <v>0</v>
      </c>
    </row>
    <row r="57" spans="3:10">
      <c r="C57" s="74"/>
      <c r="D57" s="35" t="s">
        <v>17</v>
      </c>
      <c r="E57" s="35">
        <f>IF(($F$10-E10)&gt;0,0,1)</f>
        <v>0</v>
      </c>
      <c r="F57" s="38"/>
      <c r="G57" s="35">
        <f>IF(($F$10-G10)&gt;0,0,1)</f>
        <v>0</v>
      </c>
      <c r="H57" s="35">
        <f>IF(($F$10-H10)&gt;0,0,1)</f>
        <v>0</v>
      </c>
      <c r="I57" s="35">
        <f>IF(($F$10-I10)&gt;0,0,1)</f>
        <v>0</v>
      </c>
      <c r="J57" s="35">
        <f>IF(($F$10-J10)&gt;0,0,1)</f>
        <v>0</v>
      </c>
    </row>
    <row r="58" spans="3:10">
      <c r="C58" s="74"/>
      <c r="D58" s="35" t="s">
        <v>18</v>
      </c>
      <c r="E58" s="35">
        <f>IF(($G$10-E10)&gt;0,0,1)</f>
        <v>1</v>
      </c>
      <c r="F58" s="35">
        <f>IF(($G$10-F10)&gt;0,0,1)</f>
        <v>1</v>
      </c>
      <c r="G58" s="38"/>
      <c r="H58" s="35">
        <f>IF(($G$10-H10)&gt;0,0,1)</f>
        <v>1</v>
      </c>
      <c r="I58" s="35">
        <f>IF(($G$10-I10)&gt;0,0,1)</f>
        <v>0</v>
      </c>
      <c r="J58" s="35">
        <f>IF(($G$10-J10)&gt;0,0,1)</f>
        <v>1</v>
      </c>
    </row>
    <row r="59" spans="3:10">
      <c r="C59" s="74"/>
      <c r="D59" s="35" t="s">
        <v>19</v>
      </c>
      <c r="E59" s="35">
        <f>IF(($H$10-E10)&gt;0,0,1)</f>
        <v>1</v>
      </c>
      <c r="F59" s="35">
        <f>IF(($H$10-F10)&gt;0,0,1)</f>
        <v>1</v>
      </c>
      <c r="G59" s="35">
        <f>IF(($H$10-G10)&gt;0,0,1)</f>
        <v>0</v>
      </c>
      <c r="H59" s="38"/>
      <c r="I59" s="35">
        <f>IF(($H$10-I10)&gt;0,0,1)</f>
        <v>0</v>
      </c>
      <c r="J59" s="35">
        <f>IF(($H$10-J10)&gt;0,0,1)</f>
        <v>0</v>
      </c>
    </row>
    <row r="60" spans="3:10">
      <c r="C60" s="74"/>
      <c r="D60" s="35" t="s">
        <v>20</v>
      </c>
      <c r="E60" s="35">
        <f>IF(($I$10-E10)&gt;0,0,1)</f>
        <v>1</v>
      </c>
      <c r="F60" s="35">
        <f>IF(($I$10-F10)&gt;0,0,1)</f>
        <v>1</v>
      </c>
      <c r="G60" s="35">
        <f>IF(($I$10-G10)&gt;0,0,1)</f>
        <v>1</v>
      </c>
      <c r="H60" s="35">
        <f>IF(($I$10-H10)&gt;0,0,1)</f>
        <v>1</v>
      </c>
      <c r="I60" s="38"/>
      <c r="J60" s="35">
        <f>IF(($I$10-J10)&gt;0,0,1)</f>
        <v>1</v>
      </c>
    </row>
    <row r="61" spans="3:10">
      <c r="C61" s="74"/>
      <c r="D61" s="35" t="s">
        <v>21</v>
      </c>
      <c r="E61" s="35">
        <f>IF(($J$10-E10)&gt;0,0,1)</f>
        <v>1</v>
      </c>
      <c r="F61" s="35">
        <f>IF(($J$10-F10)&gt;0,0,1)</f>
        <v>1</v>
      </c>
      <c r="G61" s="35">
        <f>IF(($J$10-G10)&gt;0,0,1)</f>
        <v>1</v>
      </c>
      <c r="H61" s="35">
        <f>IF(($J$10-H10)&gt;0,0,1)</f>
        <v>1</v>
      </c>
      <c r="I61" s="35">
        <f>IF(($J$10-I10)&gt;0,0,1)</f>
        <v>0</v>
      </c>
      <c r="J61" s="38"/>
    </row>
    <row r="64" spans="3:10">
      <c r="C64" s="74" t="s">
        <v>56</v>
      </c>
      <c r="D64" s="75" t="s">
        <v>59</v>
      </c>
      <c r="E64" s="76"/>
      <c r="F64" s="76"/>
      <c r="G64" s="76"/>
      <c r="H64" s="76"/>
      <c r="I64" s="76"/>
      <c r="J64" s="77"/>
    </row>
    <row r="65" spans="3:10">
      <c r="C65" s="74"/>
      <c r="D65" s="35"/>
      <c r="E65" s="35" t="s">
        <v>16</v>
      </c>
      <c r="F65" s="35" t="s">
        <v>17</v>
      </c>
      <c r="G65" s="35" t="s">
        <v>18</v>
      </c>
      <c r="H65" s="35" t="s">
        <v>19</v>
      </c>
      <c r="I65" s="35" t="s">
        <v>20</v>
      </c>
      <c r="J65" s="35" t="s">
        <v>21</v>
      </c>
    </row>
    <row r="66" spans="3:10">
      <c r="C66" s="74"/>
      <c r="D66" s="35" t="s">
        <v>16</v>
      </c>
      <c r="E66" s="38"/>
      <c r="F66" s="35">
        <f>IF(($E$11-F11)&gt;0,0,1)</f>
        <v>1</v>
      </c>
      <c r="G66" s="35">
        <f>IF(($E$11-G11)&gt;0,0,1)</f>
        <v>0</v>
      </c>
      <c r="H66" s="35">
        <f>IF(($E$11-H11)&gt;0,0,1)</f>
        <v>1</v>
      </c>
      <c r="I66" s="35">
        <f>IF(($E$11-I11)&gt;0,0,1)</f>
        <v>0</v>
      </c>
      <c r="J66" s="35">
        <f>IF(($E$11-J11)&gt;0,0,1)</f>
        <v>0</v>
      </c>
    </row>
    <row r="67" spans="3:10">
      <c r="C67" s="74"/>
      <c r="D67" s="35" t="s">
        <v>17</v>
      </c>
      <c r="E67" s="35">
        <f>IF(($F$11-E11)&gt;0,0,1)</f>
        <v>1</v>
      </c>
      <c r="F67" s="38"/>
      <c r="G67" s="35">
        <f>IF(($F$11-G11)&gt;0,0,1)</f>
        <v>0</v>
      </c>
      <c r="H67" s="35">
        <f>IF(($F$11-H11)&gt;0,0,1)</f>
        <v>1</v>
      </c>
      <c r="I67" s="35">
        <f>IF(($F$11-I11)&gt;0,0,1)</f>
        <v>0</v>
      </c>
      <c r="J67" s="35">
        <f>IF(($F$11-J11)&gt;0,0,1)</f>
        <v>0</v>
      </c>
    </row>
    <row r="68" spans="3:10">
      <c r="C68" s="74"/>
      <c r="D68" s="35" t="s">
        <v>18</v>
      </c>
      <c r="E68" s="35">
        <f>IF(($G$11-E11)&gt;0,0,1)</f>
        <v>1</v>
      </c>
      <c r="F68" s="35">
        <f>IF(($G$11-F11)&gt;0,0,1)</f>
        <v>1</v>
      </c>
      <c r="G68" s="38"/>
      <c r="H68" s="35">
        <f>IF(($G$11-H11)&gt;0,0,1)</f>
        <v>1</v>
      </c>
      <c r="I68" s="35">
        <f>IF(($G$11-I11)&gt;0,0,1)</f>
        <v>0</v>
      </c>
      <c r="J68" s="35">
        <f>IF(($G$11-J11)&gt;0,0,1)</f>
        <v>0</v>
      </c>
    </row>
    <row r="69" spans="3:10">
      <c r="C69" s="74"/>
      <c r="D69" s="35" t="s">
        <v>19</v>
      </c>
      <c r="E69" s="35">
        <f>IF(($H$11-E11)&gt;0,0,1)</f>
        <v>0</v>
      </c>
      <c r="F69" s="35">
        <f>IF(($H$11-F11)&gt;0,0,1)</f>
        <v>0</v>
      </c>
      <c r="G69" s="35">
        <f>IF(($H$11-G11)&gt;0,0,1)</f>
        <v>0</v>
      </c>
      <c r="H69" s="38"/>
      <c r="I69" s="35">
        <f>IF(($H$11-I11)&gt;0,0,1)</f>
        <v>0</v>
      </c>
      <c r="J69" s="35">
        <f>IF(($H$11-J11)&gt;0,0,1)</f>
        <v>0</v>
      </c>
    </row>
    <row r="70" spans="3:10">
      <c r="C70" s="74"/>
      <c r="D70" s="35" t="s">
        <v>20</v>
      </c>
      <c r="E70" s="35">
        <f>IF(($I$11-E11)&gt;0,0,1)</f>
        <v>1</v>
      </c>
      <c r="F70" s="35">
        <f>IF(($I$11-F11)&gt;0,0,1)</f>
        <v>1</v>
      </c>
      <c r="G70" s="35">
        <f>IF(($I$11-G11)&gt;0,0,1)</f>
        <v>1</v>
      </c>
      <c r="H70" s="35">
        <f>IF(($I$11-H11)&gt;0,0,1)</f>
        <v>1</v>
      </c>
      <c r="I70" s="38"/>
      <c r="J70" s="35">
        <f>IF(($I$11-J11)&gt;0,0,1)</f>
        <v>1</v>
      </c>
    </row>
    <row r="71" spans="3:10">
      <c r="C71" s="74"/>
      <c r="D71" s="35" t="s">
        <v>21</v>
      </c>
      <c r="E71" s="35">
        <f>IF(($J$11-E11)&gt;0,0,1)</f>
        <v>1</v>
      </c>
      <c r="F71" s="35">
        <f>IF(($J$11-F11)&gt;0,0,1)</f>
        <v>1</v>
      </c>
      <c r="G71" s="35">
        <f>IF(($J$11-G11)&gt;0,0,1)</f>
        <v>1</v>
      </c>
      <c r="H71" s="35">
        <f>IF(($J$11-H11)&gt;0,0,1)</f>
        <v>1</v>
      </c>
      <c r="I71" s="35">
        <f>IF(($J$11-I11)&gt;0,0,1)</f>
        <v>0</v>
      </c>
      <c r="J71" s="38"/>
    </row>
    <row r="72" spans="3:10">
      <c r="D72" s="21"/>
      <c r="E72" s="21"/>
      <c r="F72" s="21"/>
      <c r="G72" s="21"/>
      <c r="H72" s="21"/>
      <c r="I72" s="21"/>
      <c r="J72" s="39"/>
    </row>
    <row r="73" spans="3:10">
      <c r="D73" s="21"/>
      <c r="E73" s="21"/>
      <c r="F73" s="21"/>
      <c r="G73" s="21"/>
      <c r="H73" s="21"/>
      <c r="I73" s="21"/>
      <c r="J73" s="39"/>
    </row>
    <row r="74" spans="3:10">
      <c r="C74" s="74" t="s">
        <v>56</v>
      </c>
      <c r="D74" s="75" t="s">
        <v>60</v>
      </c>
      <c r="E74" s="76"/>
      <c r="F74" s="76"/>
      <c r="G74" s="76"/>
      <c r="H74" s="76"/>
      <c r="I74" s="76"/>
      <c r="J74" s="77"/>
    </row>
    <row r="75" spans="3:10">
      <c r="C75" s="74"/>
      <c r="D75" s="35"/>
      <c r="E75" s="35" t="s">
        <v>16</v>
      </c>
      <c r="F75" s="35" t="s">
        <v>17</v>
      </c>
      <c r="G75" s="35" t="s">
        <v>18</v>
      </c>
      <c r="H75" s="35" t="s">
        <v>19</v>
      </c>
      <c r="I75" s="35" t="s">
        <v>20</v>
      </c>
      <c r="J75" s="35" t="s">
        <v>21</v>
      </c>
    </row>
    <row r="76" spans="3:10">
      <c r="C76" s="74"/>
      <c r="D76" s="35" t="s">
        <v>16</v>
      </c>
      <c r="E76" s="38"/>
      <c r="F76" s="35">
        <f>IF(($E$12-F12)&gt;0,0,1)</f>
        <v>1</v>
      </c>
      <c r="G76" s="35">
        <f>IF(($E$12-G12)&gt;0,0,1)</f>
        <v>0</v>
      </c>
      <c r="H76" s="35">
        <f>IF(($E$12-H12)&gt;0,0,1)</f>
        <v>1</v>
      </c>
      <c r="I76" s="35">
        <f>IF(($E$12-I12)&gt;0,0,1)</f>
        <v>1</v>
      </c>
      <c r="J76" s="35">
        <f>IF(($E$12-J12)&gt;0,0,1)</f>
        <v>1</v>
      </c>
    </row>
    <row r="77" spans="3:10">
      <c r="C77" s="74"/>
      <c r="D77" s="35" t="s">
        <v>17</v>
      </c>
      <c r="E77" s="35">
        <f>IF(($F$12-E12)&gt;0,0,1)</f>
        <v>0</v>
      </c>
      <c r="F77" s="38"/>
      <c r="G77" s="35">
        <f>IF(($F$12-G12)&gt;0,0,1)</f>
        <v>0</v>
      </c>
      <c r="H77" s="35">
        <f>IF(($F$12-H12)&gt;0,0,1)</f>
        <v>1</v>
      </c>
      <c r="I77" s="35">
        <f>IF(($F$12-I12)&gt;0,0,1)</f>
        <v>1</v>
      </c>
      <c r="J77" s="35">
        <f>IF(($F$12-J12)&gt;0,0,1)</f>
        <v>1</v>
      </c>
    </row>
    <row r="78" spans="3:10">
      <c r="C78" s="74"/>
      <c r="D78" s="35" t="s">
        <v>18</v>
      </c>
      <c r="E78" s="35">
        <f>IF(($G$12-E12)&gt;0,0,1)</f>
        <v>1</v>
      </c>
      <c r="F78" s="35">
        <f>IF(($G$12-F12)&gt;0,0,1)</f>
        <v>1</v>
      </c>
      <c r="G78" s="38"/>
      <c r="H78" s="35">
        <f>IF(($G$12-H12)&gt;0,0,1)</f>
        <v>1</v>
      </c>
      <c r="I78" s="35">
        <f>IF(($G$12-I12)&gt;0,0,1)</f>
        <v>1</v>
      </c>
      <c r="J78" s="35">
        <f>IF(($G$12-J12)&gt;0,0,1)</f>
        <v>1</v>
      </c>
    </row>
    <row r="79" spans="3:10">
      <c r="C79" s="74"/>
      <c r="D79" s="35" t="s">
        <v>19</v>
      </c>
      <c r="E79" s="35">
        <f>IF(($H$12-E12)&gt;0,0,1)</f>
        <v>0</v>
      </c>
      <c r="F79" s="35">
        <f>IF(($H$12-F12)&gt;0,0,1)</f>
        <v>0</v>
      </c>
      <c r="G79" s="35">
        <f>IF(($H$12-G12)&gt;0,0,1)</f>
        <v>0</v>
      </c>
      <c r="H79" s="38"/>
      <c r="I79" s="35">
        <f>IF(($H$12-I12)&gt;0,0,1)</f>
        <v>0</v>
      </c>
      <c r="J79" s="35">
        <f>IF(($H$12-J12)&gt;0,0,1)</f>
        <v>0</v>
      </c>
    </row>
    <row r="80" spans="3:10">
      <c r="C80" s="74"/>
      <c r="D80" s="35" t="s">
        <v>20</v>
      </c>
      <c r="E80" s="35">
        <f>IF(($I$12-E12)&gt;0,0,1)</f>
        <v>0</v>
      </c>
      <c r="F80" s="35">
        <f>IF(($I$12-F12)&gt;0,0,1)</f>
        <v>0</v>
      </c>
      <c r="G80" s="35">
        <f>IF(($I$12-G12)&gt;0,0,1)</f>
        <v>0</v>
      </c>
      <c r="H80" s="35">
        <f>IF(($I$12-H12)&gt;0,0,1)</f>
        <v>1</v>
      </c>
      <c r="I80" s="38"/>
      <c r="J80" s="35">
        <f>IF(($I$12-J12)&gt;0,0,1)</f>
        <v>0</v>
      </c>
    </row>
    <row r="81" spans="3:10">
      <c r="C81" s="74"/>
      <c r="D81" s="35" t="s">
        <v>21</v>
      </c>
      <c r="E81" s="35">
        <f>IF(($J$12-E12)&gt;0,0,1)</f>
        <v>0</v>
      </c>
      <c r="F81" s="35">
        <f>IF(($J$12-F12)&gt;0,0,1)</f>
        <v>0</v>
      </c>
      <c r="G81" s="35">
        <f>IF(($J$12-G12)&gt;0,0,1)</f>
        <v>0</v>
      </c>
      <c r="H81" s="35">
        <f>IF(($J$12-H12)&gt;0,0,1)</f>
        <v>1</v>
      </c>
      <c r="I81" s="35">
        <f>IF(($J$12-I12)&gt;0,0,1)</f>
        <v>1</v>
      </c>
      <c r="J81" s="38"/>
    </row>
    <row r="82" spans="3:10">
      <c r="D82" s="21"/>
      <c r="E82" s="21"/>
      <c r="F82" s="21"/>
      <c r="G82" s="21"/>
      <c r="H82" s="21"/>
      <c r="I82" s="21"/>
      <c r="J82" s="39"/>
    </row>
    <row r="83" spans="3:10">
      <c r="D83" s="21"/>
      <c r="E83" s="21"/>
      <c r="F83" s="21"/>
      <c r="G83" s="21"/>
      <c r="H83" s="21"/>
      <c r="I83" s="21"/>
      <c r="J83" s="39"/>
    </row>
    <row r="84" spans="3:10">
      <c r="D84" s="53"/>
      <c r="E84" s="53"/>
      <c r="F84" s="53"/>
      <c r="G84" s="53"/>
    </row>
    <row r="85" spans="3:10">
      <c r="D85" s="53"/>
      <c r="E85" s="53"/>
      <c r="F85" s="53"/>
      <c r="G85" s="53"/>
    </row>
    <row r="86" spans="3:10">
      <c r="D86" s="53"/>
      <c r="E86" s="53"/>
      <c r="F86" s="53"/>
      <c r="G86" s="53"/>
    </row>
    <row r="87" spans="3:10">
      <c r="D87" s="53"/>
      <c r="E87" s="53"/>
      <c r="F87" s="53"/>
      <c r="G87" s="53"/>
    </row>
  </sheetData>
  <mergeCells count="16">
    <mergeCell ref="M14:S14"/>
    <mergeCell ref="C24:C31"/>
    <mergeCell ref="D24:J24"/>
    <mergeCell ref="M30:S30"/>
    <mergeCell ref="C54:C61"/>
    <mergeCell ref="D54:J54"/>
    <mergeCell ref="C14:C21"/>
    <mergeCell ref="D14:J14"/>
    <mergeCell ref="C34:C41"/>
    <mergeCell ref="D34:J34"/>
    <mergeCell ref="C44:C51"/>
    <mergeCell ref="D44:J44"/>
    <mergeCell ref="C64:C71"/>
    <mergeCell ref="D64:J64"/>
    <mergeCell ref="C74:C81"/>
    <mergeCell ref="D74:J74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P39"/>
  <sheetViews>
    <sheetView tabSelected="1" topLeftCell="A16" workbookViewId="0">
      <selection activeCell="P28" sqref="P28"/>
    </sheetView>
  </sheetViews>
  <sheetFormatPr baseColWidth="10" defaultColWidth="11.5703125" defaultRowHeight="15"/>
  <cols>
    <col min="1" max="1" width="16.85546875" bestFit="1" customWidth="1"/>
    <col min="2" max="2" width="9.5703125" style="1" customWidth="1"/>
    <col min="3" max="3" width="13.42578125" style="1" customWidth="1"/>
    <col min="4" max="4" width="12.28515625" style="1" customWidth="1"/>
    <col min="5" max="5" width="17" style="1" customWidth="1"/>
    <col min="6" max="6" width="19.42578125" style="1" customWidth="1"/>
    <col min="7" max="7" width="16" style="1" customWidth="1"/>
    <col min="8" max="8" width="13.28515625" style="1" customWidth="1"/>
    <col min="9" max="11" width="11.5703125" style="1"/>
    <col min="12" max="12" width="17.85546875" bestFit="1" customWidth="1"/>
    <col min="13" max="15" width="6.5703125" style="1" bestFit="1" customWidth="1"/>
    <col min="16" max="16" width="11.5703125" style="1"/>
  </cols>
  <sheetData>
    <row r="2" spans="1:8" ht="45" customHeight="1">
      <c r="A2" s="24" t="s">
        <v>22</v>
      </c>
      <c r="B2" s="24" t="s">
        <v>31</v>
      </c>
      <c r="C2" s="24" t="s">
        <v>33</v>
      </c>
      <c r="D2" s="24" t="s">
        <v>35</v>
      </c>
      <c r="E2" s="24" t="s">
        <v>38</v>
      </c>
      <c r="F2" s="24" t="s">
        <v>40</v>
      </c>
      <c r="G2" s="24" t="s">
        <v>61</v>
      </c>
      <c r="H2" s="24" t="s">
        <v>62</v>
      </c>
    </row>
    <row r="3" spans="1:8">
      <c r="A3" t="s">
        <v>23</v>
      </c>
      <c r="B3" s="1">
        <v>15</v>
      </c>
      <c r="C3" s="1">
        <v>30</v>
      </c>
      <c r="D3" s="1">
        <v>25</v>
      </c>
      <c r="E3" s="1">
        <v>3500</v>
      </c>
      <c r="F3" s="1">
        <v>17</v>
      </c>
      <c r="G3" s="1">
        <v>0.1</v>
      </c>
      <c r="H3" s="1">
        <v>0.08</v>
      </c>
    </row>
    <row r="4" spans="1:8">
      <c r="A4" t="s">
        <v>24</v>
      </c>
      <c r="B4" s="1">
        <v>10</v>
      </c>
      <c r="C4" s="1">
        <v>30</v>
      </c>
      <c r="D4" s="1">
        <v>25</v>
      </c>
      <c r="E4" s="1">
        <v>4500</v>
      </c>
      <c r="F4" s="1">
        <v>75</v>
      </c>
      <c r="G4" s="1">
        <v>0.1</v>
      </c>
      <c r="H4" s="1">
        <v>0.12</v>
      </c>
    </row>
    <row r="5" spans="1:8">
      <c r="A5" t="s">
        <v>25</v>
      </c>
      <c r="B5" s="1">
        <v>36</v>
      </c>
      <c r="C5" s="1">
        <v>90</v>
      </c>
      <c r="D5" s="1">
        <v>30</v>
      </c>
      <c r="E5" s="1">
        <v>2500</v>
      </c>
      <c r="F5" s="1">
        <v>8</v>
      </c>
      <c r="G5" s="1">
        <v>0.06</v>
      </c>
      <c r="H5" s="1">
        <v>0.03</v>
      </c>
    </row>
    <row r="6" spans="1:8">
      <c r="A6" t="s">
        <v>26</v>
      </c>
      <c r="B6" s="1">
        <v>25</v>
      </c>
      <c r="C6" s="1">
        <v>90</v>
      </c>
      <c r="D6" s="1">
        <v>25</v>
      </c>
      <c r="E6" s="1">
        <v>2500</v>
      </c>
      <c r="F6" s="1">
        <v>14</v>
      </c>
      <c r="G6" s="1">
        <v>1.18</v>
      </c>
      <c r="H6" s="1">
        <v>1.18</v>
      </c>
    </row>
    <row r="7" spans="1:8">
      <c r="A7" t="s">
        <v>27</v>
      </c>
      <c r="B7" s="1">
        <v>28</v>
      </c>
      <c r="C7" s="1">
        <v>30</v>
      </c>
      <c r="D7" s="1">
        <v>25</v>
      </c>
      <c r="E7" s="1">
        <v>1100</v>
      </c>
      <c r="F7" s="1">
        <v>7</v>
      </c>
      <c r="G7" s="1">
        <v>0.02</v>
      </c>
      <c r="H7" s="1">
        <v>0.79</v>
      </c>
    </row>
    <row r="8" spans="1:8">
      <c r="A8" t="s">
        <v>28</v>
      </c>
      <c r="B8" s="1">
        <v>80</v>
      </c>
      <c r="C8" s="1">
        <v>90</v>
      </c>
      <c r="D8" s="1">
        <v>50</v>
      </c>
      <c r="E8" s="1">
        <v>2000</v>
      </c>
      <c r="F8" s="1">
        <v>8</v>
      </c>
      <c r="G8" s="1">
        <v>0.04</v>
      </c>
      <c r="H8" s="1">
        <v>0.13</v>
      </c>
    </row>
    <row r="10" spans="1:8" ht="18.75">
      <c r="B10" s="79" t="s">
        <v>63</v>
      </c>
      <c r="C10" s="79"/>
      <c r="D10" s="79"/>
      <c r="E10" s="79"/>
      <c r="F10" s="79"/>
      <c r="G10" s="79"/>
      <c r="H10" s="79"/>
    </row>
    <row r="11" spans="1:8">
      <c r="B11" s="55">
        <f t="shared" ref="B11:B16" si="0">B3/SQRT((POWER($B$3,2)+POWER($B$4,2)+POWER($B$5,2)+POWER($B$6,2)+POWER($B$7,2)+POWER($B$8,2)))</f>
        <v>0.15446689356916499</v>
      </c>
      <c r="C11" s="55">
        <f t="shared" ref="C11:C16" si="1">C3/SQRT((POWER($C$3,2)+POWER($C$4,2)+POWER($C$5,2)+POWER($C$6,2)+POWER($C$7,2)+POWER($C$8,2)))</f>
        <v>0.18257418583505536</v>
      </c>
      <c r="D11" s="55">
        <f t="shared" ref="D11:D16" si="2">D3/SQRT((POWER($D$3,2)+POWER($D$4,2)+POWER($D$5,2)+POWER($D$6,2)+POWER($D$7,2)+POWER($D$8,2)))</f>
        <v>0.3254722774520597</v>
      </c>
      <c r="E11" s="55">
        <f t="shared" ref="E11:E16" si="3">1-E3/SQRT((POWER($E$3,2)+POWER($E$4,2)+POWER($E$5,2)+POWER($E$6,2)+POWER($E$7,2)+POWER($E$8,2)))</f>
        <v>0.50606143729775699</v>
      </c>
      <c r="F11" s="55">
        <f t="shared" ref="F11:F16" si="4">1-F3/SQRT((POWER($F$3,2)+POWER($F$4,2)+POWER($F$5,2)+POWER($F$6,2)+POWER($F$7,2)+POWER($F$8,2)))</f>
        <v>0.78559881015170074</v>
      </c>
      <c r="G11" s="55">
        <f t="shared" ref="G11:G16" si="5">1-G3/SQRT((POWER($G$3,2)+POWER($G$4,2)+POWER($G$5,2)+POWER($G$6,2)+POWER($G$7,2)+POWER($G$8,2)))</f>
        <v>0.91602270439151368</v>
      </c>
      <c r="H11" s="55">
        <f t="shared" ref="H11:H16" si="6">1-H3/SQRT((POWER($H$3,2)+POWER($H$4,2)+POWER($H$5,2)+POWER($H$6,2)+POWER($H$7,2)+POWER($H$8,2)))</f>
        <v>0.94419494925739256</v>
      </c>
    </row>
    <row r="12" spans="1:8">
      <c r="B12" s="55">
        <f t="shared" si="0"/>
        <v>0.10297792904610999</v>
      </c>
      <c r="C12" s="55">
        <f t="shared" si="1"/>
        <v>0.18257418583505536</v>
      </c>
      <c r="D12" s="55">
        <f t="shared" si="2"/>
        <v>0.3254722774520597</v>
      </c>
      <c r="E12" s="55">
        <f t="shared" si="3"/>
        <v>0.3649361336685446</v>
      </c>
      <c r="F12" s="55">
        <f t="shared" si="4"/>
        <v>5.4112397728091288E-2</v>
      </c>
      <c r="G12" s="55">
        <f t="shared" si="5"/>
        <v>0.91602270439151368</v>
      </c>
      <c r="H12" s="55">
        <f t="shared" si="6"/>
        <v>0.91629242388608878</v>
      </c>
    </row>
    <row r="13" spans="1:8">
      <c r="B13" s="55">
        <f t="shared" si="0"/>
        <v>0.37072054456599596</v>
      </c>
      <c r="C13" s="55">
        <f t="shared" si="1"/>
        <v>0.54772255750516607</v>
      </c>
      <c r="D13" s="55">
        <f t="shared" si="2"/>
        <v>0.39056673294247163</v>
      </c>
      <c r="E13" s="55">
        <f t="shared" si="3"/>
        <v>0.64718674092696926</v>
      </c>
      <c r="F13" s="55">
        <f t="shared" si="4"/>
        <v>0.89910532242432972</v>
      </c>
      <c r="G13" s="55">
        <f t="shared" si="5"/>
        <v>0.94961362263490823</v>
      </c>
      <c r="H13" s="55">
        <f t="shared" si="6"/>
        <v>0.9790731059715222</v>
      </c>
    </row>
    <row r="14" spans="1:8">
      <c r="B14" s="55">
        <f t="shared" si="0"/>
        <v>0.25744482261527496</v>
      </c>
      <c r="C14" s="55">
        <f t="shared" si="1"/>
        <v>0.54772255750516607</v>
      </c>
      <c r="D14" s="55">
        <f t="shared" si="2"/>
        <v>0.3254722774520597</v>
      </c>
      <c r="E14" s="55">
        <f t="shared" si="3"/>
        <v>0.64718674092696926</v>
      </c>
      <c r="F14" s="55">
        <f t="shared" si="4"/>
        <v>0.82343431424257707</v>
      </c>
      <c r="G14" s="55">
        <f t="shared" si="5"/>
        <v>9.0679118198617736E-3</v>
      </c>
      <c r="H14" s="55">
        <f t="shared" si="6"/>
        <v>0.17687550154653997</v>
      </c>
    </row>
    <row r="15" spans="1:8">
      <c r="B15" s="55">
        <f t="shared" si="0"/>
        <v>0.28833820132910792</v>
      </c>
      <c r="C15" s="55">
        <f t="shared" si="1"/>
        <v>0.18257418583505536</v>
      </c>
      <c r="D15" s="55">
        <f t="shared" si="2"/>
        <v>0.3254722774520597</v>
      </c>
      <c r="E15" s="55">
        <f t="shared" si="3"/>
        <v>0.84476216600786647</v>
      </c>
      <c r="F15" s="55">
        <f t="shared" si="4"/>
        <v>0.91171715712128854</v>
      </c>
      <c r="G15" s="55">
        <f t="shared" si="5"/>
        <v>0.98320454087830278</v>
      </c>
      <c r="H15" s="55">
        <f t="shared" si="6"/>
        <v>0.44892512391675132</v>
      </c>
    </row>
    <row r="16" spans="1:8">
      <c r="B16" s="55">
        <f t="shared" si="0"/>
        <v>0.82382343236887989</v>
      </c>
      <c r="C16" s="55">
        <f t="shared" si="1"/>
        <v>0.54772255750516607</v>
      </c>
      <c r="D16" s="55">
        <f t="shared" si="2"/>
        <v>0.6509445549041194</v>
      </c>
      <c r="E16" s="55">
        <f t="shared" si="3"/>
        <v>0.71774939274157545</v>
      </c>
      <c r="F16" s="55">
        <f t="shared" si="4"/>
        <v>0.89910532242432972</v>
      </c>
      <c r="G16" s="55">
        <f t="shared" si="5"/>
        <v>0.96640908175660545</v>
      </c>
      <c r="H16" s="55">
        <f t="shared" si="6"/>
        <v>0.90931679254326292</v>
      </c>
    </row>
    <row r="17" spans="1:16" ht="18.75">
      <c r="B17" s="79" t="s">
        <v>64</v>
      </c>
      <c r="C17" s="79"/>
      <c r="D17" s="79"/>
      <c r="E17" s="79"/>
      <c r="F17" s="79"/>
      <c r="G17" s="79"/>
      <c r="H17" s="79"/>
      <c r="I17" s="1" t="s">
        <v>67</v>
      </c>
      <c r="J17" s="1" t="s">
        <v>68</v>
      </c>
      <c r="K17" s="1" t="s">
        <v>69</v>
      </c>
    </row>
    <row r="18" spans="1:16">
      <c r="A18" t="s">
        <v>23</v>
      </c>
      <c r="B18" s="8">
        <f>B11*'Pesos SAATY'!$AK$3</f>
        <v>2.1552572056603676E-2</v>
      </c>
      <c r="C18" s="8">
        <f>C11*'Pesos SAATY'!$AK$4</f>
        <v>5.7272699827785281E-2</v>
      </c>
      <c r="D18" s="8">
        <f>D11*'Pesos SAATY'!$AK$5</f>
        <v>6.2971832488059959E-2</v>
      </c>
      <c r="E18" s="8">
        <f>E11*'Pesos SAATY'!$AK$6</f>
        <v>3.7545417101421806E-2</v>
      </c>
      <c r="F18" s="8">
        <f>F11*'Pesos SAATY'!$AK$7</f>
        <v>5.8284691991205041E-2</v>
      </c>
      <c r="G18" s="8">
        <f>G11*'Pesos SAATY'!$AK$8</f>
        <v>4.4273172947239717E-2</v>
      </c>
      <c r="H18" s="8">
        <f>H11*'Pesos SAATY'!$AK$9</f>
        <v>0.14784452431797143</v>
      </c>
      <c r="I18" s="7">
        <f t="shared" ref="I18:I23" si="7">SQRT((POWER((B18-$B$25),2))+POWER((C18-$C$25),2)+POWER((D18-$D$25),2)+POWER((E18-$E$25),2)+POWER((F18-$F$25),2)+POWER((G18-$G$25),2)+POWER((H18-$H$25),2))</f>
        <v>0.16299693447906988</v>
      </c>
      <c r="J18" s="7">
        <f t="shared" ref="J18:J23" si="8">SQRT((POWER((B18-$B$27),2))+POWER((C18-$C$27),2)+POWER((D18-$D$27),2)+POWER((E18-$E$27),2)+POWER((F18-$F$27),2)+POWER((G18-$G$27),2)+POWER((H18-$H$27),2))</f>
        <v>0.13951247109102555</v>
      </c>
      <c r="K18" s="7">
        <f t="shared" ref="K18:K23" si="9">J18/(I18+J18)</f>
        <v>0.46118391204434356</v>
      </c>
    </row>
    <row r="19" spans="1:16">
      <c r="A19" t="s">
        <v>24</v>
      </c>
      <c r="B19" s="8">
        <f>B12*'Pesos SAATY'!$AK$3</f>
        <v>1.4368381371069116E-2</v>
      </c>
      <c r="C19" s="8">
        <f>C12*'Pesos SAATY'!$AK$4</f>
        <v>5.7272699827785281E-2</v>
      </c>
      <c r="D19" s="8">
        <f>D12*'Pesos SAATY'!$AK$5</f>
        <v>6.2971832488059959E-2</v>
      </c>
      <c r="E19" s="8">
        <f>E12*'Pesos SAATY'!$AK$6</f>
        <v>2.7075130298663558E-2</v>
      </c>
      <c r="F19" s="8">
        <f>F12*'Pesos SAATY'!$AK$7</f>
        <v>4.0146756763523549E-3</v>
      </c>
      <c r="G19" s="8">
        <f>G12*'Pesos SAATY'!$AK$8</f>
        <v>4.4273172947239717E-2</v>
      </c>
      <c r="H19" s="8">
        <f>H12*'Pesos SAATY'!$AK$9</f>
        <v>0.14347547363195046</v>
      </c>
      <c r="I19" s="7">
        <f t="shared" si="7"/>
        <v>0.18062397331580568</v>
      </c>
      <c r="J19" s="7">
        <f t="shared" si="8"/>
        <v>0.12380012442292873</v>
      </c>
      <c r="K19" s="7">
        <f t="shared" si="9"/>
        <v>0.40666992311882483</v>
      </c>
    </row>
    <row r="20" spans="1:16">
      <c r="A20" t="s">
        <v>25</v>
      </c>
      <c r="B20" s="8">
        <f>B13*'Pesos SAATY'!$AK$3</f>
        <v>5.1726172935848823E-2</v>
      </c>
      <c r="C20" s="8">
        <f>C13*'Pesos SAATY'!$AK$4</f>
        <v>0.17181809948335586</v>
      </c>
      <c r="D20" s="8">
        <f>D13*'Pesos SAATY'!$AK$5</f>
        <v>7.5566198985671948E-2</v>
      </c>
      <c r="E20" s="8">
        <f>E13*'Pesos SAATY'!$AK$6</f>
        <v>4.801570390418005E-2</v>
      </c>
      <c r="F20" s="8">
        <f>F13*'Pesos SAATY'!$AK$7</f>
        <v>6.6705901419371827E-2</v>
      </c>
      <c r="G20" s="8">
        <f>G13*'Pesos SAATY'!$AK$8</f>
        <v>4.5896687872925189E-2</v>
      </c>
      <c r="H20" s="8">
        <f>H13*'Pesos SAATY'!$AK$9</f>
        <v>0.1533058376754976</v>
      </c>
      <c r="I20" s="7">
        <f t="shared" si="7"/>
        <v>8.2177542859656352E-2</v>
      </c>
      <c r="J20" s="7">
        <f t="shared" si="8"/>
        <v>0.19206238717345236</v>
      </c>
      <c r="K20" s="7">
        <f t="shared" si="9"/>
        <v>0.7003443559450474</v>
      </c>
    </row>
    <row r="21" spans="1:16">
      <c r="A21" t="s">
        <v>26</v>
      </c>
      <c r="B21" s="8">
        <f>B14*'Pesos SAATY'!$AK$3</f>
        <v>3.5920953427672792E-2</v>
      </c>
      <c r="C21" s="8">
        <f>C14*'Pesos SAATY'!$AK$4</f>
        <v>0.17181809948335586</v>
      </c>
      <c r="D21" s="8">
        <f>D14*'Pesos SAATY'!$AK$5</f>
        <v>6.2971832488059959E-2</v>
      </c>
      <c r="E21" s="8">
        <f>E14*'Pesos SAATY'!$AK$6</f>
        <v>4.801570390418005E-2</v>
      </c>
      <c r="F21" s="8">
        <f>F14*'Pesos SAATY'!$AK$7</f>
        <v>6.1091761800593974E-2</v>
      </c>
      <c r="G21" s="8">
        <f>G14*'Pesos SAATY'!$AK$8</f>
        <v>4.3826995373192284E-4</v>
      </c>
      <c r="H21" s="8">
        <f>H14*'Pesos SAATY'!$AK$9</f>
        <v>2.7695630452395242E-2</v>
      </c>
      <c r="I21" s="7">
        <f t="shared" si="7"/>
        <v>0.16870974287492357</v>
      </c>
      <c r="J21" s="7">
        <f t="shared" si="8"/>
        <v>0.13145897963955003</v>
      </c>
      <c r="K21" s="7">
        <f t="shared" si="9"/>
        <v>0.43795029188362994</v>
      </c>
    </row>
    <row r="22" spans="1:16">
      <c r="A22" t="s">
        <v>27</v>
      </c>
      <c r="B22" s="8">
        <f>B15*'Pesos SAATY'!$AK$3</f>
        <v>4.023146783899352E-2</v>
      </c>
      <c r="C22" s="8">
        <f>C15*'Pesos SAATY'!$AK$4</f>
        <v>5.7272699827785281E-2</v>
      </c>
      <c r="D22" s="8">
        <f>D15*'Pesos SAATY'!$AK$5</f>
        <v>6.2971832488059959E-2</v>
      </c>
      <c r="E22" s="8">
        <f>E15*'Pesos SAATY'!$AK$6</f>
        <v>6.2674105428041582E-2</v>
      </c>
      <c r="F22" s="8">
        <f>F15*'Pesos SAATY'!$AK$7</f>
        <v>6.7641591355834807E-2</v>
      </c>
      <c r="G22" s="8">
        <f>G15*'Pesos SAATY'!$AK$8</f>
        <v>4.7520202798610668E-2</v>
      </c>
      <c r="H22" s="8">
        <f>H15*'Pesos SAATY'!$AK$9</f>
        <v>7.0293874641099527E-2</v>
      </c>
      <c r="I22" s="7">
        <f t="shared" si="7"/>
        <v>0.17192877780747773</v>
      </c>
      <c r="J22" s="7">
        <f t="shared" si="8"/>
        <v>0.10007941586142241</v>
      </c>
      <c r="K22" s="7">
        <f t="shared" si="9"/>
        <v>0.36792794552080033</v>
      </c>
    </row>
    <row r="23" spans="1:16">
      <c r="A23" t="s">
        <v>70</v>
      </c>
      <c r="B23" s="8">
        <f>B16*'Pesos SAATY'!$AK$3</f>
        <v>0.11494705096855293</v>
      </c>
      <c r="C23" s="8">
        <f>C16*'Pesos SAATY'!$AK$4</f>
        <v>0.17181809948335586</v>
      </c>
      <c r="D23" s="8">
        <f>D16*'Pesos SAATY'!$AK$5</f>
        <v>0.12594366497611992</v>
      </c>
      <c r="E23" s="8">
        <f>E16*'Pesos SAATY'!$AK$6</f>
        <v>5.3250847305559172E-2</v>
      </c>
      <c r="F23" s="8">
        <f>F16*'Pesos SAATY'!$AK$7</f>
        <v>6.6705901419371827E-2</v>
      </c>
      <c r="G23" s="8">
        <f>G16*'Pesos SAATY'!$AK$8</f>
        <v>4.6708445335767929E-2</v>
      </c>
      <c r="H23" s="8">
        <f>H16*'Pesos SAATY'!$AK$9</f>
        <v>0.14238321096044523</v>
      </c>
      <c r="I23" s="7">
        <f t="shared" si="7"/>
        <v>1.447881327440151E-2</v>
      </c>
      <c r="J23" s="7">
        <f t="shared" si="8"/>
        <v>0.21705229150096669</v>
      </c>
      <c r="K23" s="7">
        <f t="shared" si="9"/>
        <v>0.93746493246145535</v>
      </c>
    </row>
    <row r="24" spans="1:16" ht="17.25">
      <c r="B24" s="72" t="s">
        <v>65</v>
      </c>
      <c r="C24" s="72"/>
      <c r="D24" s="72"/>
      <c r="E24" s="72"/>
      <c r="F24" s="72"/>
      <c r="G24" s="72"/>
      <c r="H24" s="72"/>
    </row>
    <row r="25" spans="1:16" ht="18">
      <c r="B25" s="56">
        <f>MAX(B18:B23)</f>
        <v>0.11494705096855293</v>
      </c>
      <c r="C25" s="56">
        <f t="shared" ref="C25:H25" si="10">MAX(C18:C23)</f>
        <v>0.17181809948335586</v>
      </c>
      <c r="D25" s="56">
        <f t="shared" si="10"/>
        <v>0.12594366497611992</v>
      </c>
      <c r="E25" s="56">
        <f t="shared" si="10"/>
        <v>6.2674105428041582E-2</v>
      </c>
      <c r="F25" s="56">
        <f t="shared" si="10"/>
        <v>6.7641591355834807E-2</v>
      </c>
      <c r="G25" s="56">
        <f t="shared" si="10"/>
        <v>4.7520202798610668E-2</v>
      </c>
      <c r="H25" s="56">
        <f t="shared" si="10"/>
        <v>0.1533058376754976</v>
      </c>
      <c r="L25" s="57" t="s">
        <v>54</v>
      </c>
      <c r="M25" s="57" t="s">
        <v>71</v>
      </c>
      <c r="N25" s="57" t="s">
        <v>72</v>
      </c>
      <c r="O25" s="57" t="s">
        <v>73</v>
      </c>
    </row>
    <row r="26" spans="1:16" ht="17.25">
      <c r="B26" s="72" t="s">
        <v>66</v>
      </c>
      <c r="C26" s="72"/>
      <c r="D26" s="72"/>
      <c r="E26" s="72"/>
      <c r="F26" s="72"/>
      <c r="G26" s="72"/>
      <c r="H26" s="72"/>
      <c r="L26" s="58" t="s">
        <v>23</v>
      </c>
      <c r="M26" s="17">
        <f t="shared" ref="M26:M31" si="11">I18</f>
        <v>0.16299693447906988</v>
      </c>
      <c r="N26" s="17">
        <f t="shared" ref="N26:N31" si="12">J18</f>
        <v>0.13951247109102555</v>
      </c>
      <c r="O26" s="17">
        <f t="shared" ref="O26:O31" si="13">K18</f>
        <v>0.46118391204434356</v>
      </c>
      <c r="P26" s="1">
        <v>3</v>
      </c>
    </row>
    <row r="27" spans="1:16">
      <c r="B27" s="10">
        <f>MIN(B18:B23)</f>
        <v>1.4368381371069116E-2</v>
      </c>
      <c r="C27" s="10">
        <f t="shared" ref="C27:H27" si="14">MIN(C18:C23)</f>
        <v>5.7272699827785281E-2</v>
      </c>
      <c r="D27" s="10">
        <f t="shared" si="14"/>
        <v>6.2971832488059959E-2</v>
      </c>
      <c r="E27" s="10">
        <f t="shared" si="14"/>
        <v>2.7075130298663558E-2</v>
      </c>
      <c r="F27" s="10">
        <f t="shared" si="14"/>
        <v>4.0146756763523549E-3</v>
      </c>
      <c r="G27" s="10">
        <f t="shared" si="14"/>
        <v>4.3826995373192284E-4</v>
      </c>
      <c r="H27" s="10">
        <f t="shared" si="14"/>
        <v>2.7695630452395242E-2</v>
      </c>
      <c r="L27" s="58" t="s">
        <v>24</v>
      </c>
      <c r="M27" s="17">
        <f t="shared" si="11"/>
        <v>0.18062397331580568</v>
      </c>
      <c r="N27" s="17">
        <f t="shared" si="12"/>
        <v>0.12380012442292873</v>
      </c>
      <c r="O27" s="17">
        <f t="shared" si="13"/>
        <v>0.40666992311882483</v>
      </c>
      <c r="P27" s="1">
        <v>5</v>
      </c>
    </row>
    <row r="28" spans="1:16">
      <c r="L28" s="58" t="s">
        <v>25</v>
      </c>
      <c r="M28" s="17">
        <f t="shared" si="11"/>
        <v>8.2177542859656352E-2</v>
      </c>
      <c r="N28" s="17">
        <f t="shared" si="12"/>
        <v>0.19206238717345236</v>
      </c>
      <c r="O28" s="17">
        <f t="shared" si="13"/>
        <v>0.7003443559450474</v>
      </c>
      <c r="P28" s="1">
        <v>2</v>
      </c>
    </row>
    <row r="29" spans="1:16">
      <c r="L29" s="58" t="s">
        <v>26</v>
      </c>
      <c r="M29" s="17">
        <f t="shared" si="11"/>
        <v>0.16870974287492357</v>
      </c>
      <c r="N29" s="17">
        <f t="shared" si="12"/>
        <v>0.13145897963955003</v>
      </c>
      <c r="O29" s="17">
        <f t="shared" si="13"/>
        <v>0.43795029188362994</v>
      </c>
      <c r="P29" s="1">
        <v>4</v>
      </c>
    </row>
    <row r="30" spans="1:16">
      <c r="L30" s="58" t="s">
        <v>27</v>
      </c>
      <c r="M30" s="17">
        <f t="shared" si="11"/>
        <v>0.17192877780747773</v>
      </c>
      <c r="N30" s="17">
        <f t="shared" si="12"/>
        <v>0.10007941586142241</v>
      </c>
      <c r="O30" s="17">
        <f t="shared" si="13"/>
        <v>0.36792794552080033</v>
      </c>
      <c r="P30" s="1">
        <v>6</v>
      </c>
    </row>
    <row r="31" spans="1:16">
      <c r="L31" s="58" t="s">
        <v>70</v>
      </c>
      <c r="M31" s="17">
        <f t="shared" si="11"/>
        <v>1.447881327440151E-2</v>
      </c>
      <c r="N31" s="17">
        <f t="shared" si="12"/>
        <v>0.21705229150096669</v>
      </c>
      <c r="O31" s="17">
        <f t="shared" si="13"/>
        <v>0.93746493246145535</v>
      </c>
      <c r="P31" s="1">
        <v>1</v>
      </c>
    </row>
    <row r="33" spans="13:15">
      <c r="M33"/>
      <c r="N33"/>
      <c r="O33"/>
    </row>
    <row r="34" spans="13:15">
      <c r="M34"/>
      <c r="N34"/>
      <c r="O34"/>
    </row>
    <row r="35" spans="13:15">
      <c r="M35"/>
      <c r="N35"/>
      <c r="O35"/>
    </row>
    <row r="36" spans="13:15">
      <c r="M36"/>
      <c r="N36"/>
      <c r="O36"/>
    </row>
    <row r="37" spans="13:15">
      <c r="M37"/>
      <c r="N37"/>
      <c r="O37"/>
    </row>
    <row r="38" spans="13:15">
      <c r="M38"/>
      <c r="N38"/>
      <c r="O38"/>
    </row>
    <row r="39" spans="13:15">
      <c r="N39"/>
      <c r="O39"/>
    </row>
  </sheetData>
  <mergeCells count="4">
    <mergeCell ref="B10:H10"/>
    <mergeCell ref="B17:H17"/>
    <mergeCell ref="B24:H24"/>
    <mergeCell ref="B26:H26"/>
  </mergeCells>
  <phoneticPr fontId="2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D5:H11"/>
  <sheetViews>
    <sheetView workbookViewId="0">
      <selection activeCell="I17" sqref="I17"/>
    </sheetView>
  </sheetViews>
  <sheetFormatPr baseColWidth="10" defaultColWidth="11.5703125" defaultRowHeight="15"/>
  <cols>
    <col min="4" max="4" width="14.85546875" bestFit="1" customWidth="1"/>
    <col min="5" max="5" width="11.5703125" style="1"/>
    <col min="6" max="6" width="11.85546875" style="1" bestFit="1" customWidth="1"/>
    <col min="7" max="7" width="11.5703125" style="1"/>
  </cols>
  <sheetData>
    <row r="5" spans="4:8">
      <c r="D5" s="16" t="s">
        <v>78</v>
      </c>
      <c r="E5" s="16" t="s">
        <v>75</v>
      </c>
      <c r="F5" s="16" t="s">
        <v>76</v>
      </c>
      <c r="G5" s="16" t="s">
        <v>77</v>
      </c>
    </row>
    <row r="6" spans="4:8">
      <c r="D6" s="61" t="s">
        <v>25</v>
      </c>
      <c r="E6" s="66">
        <v>1</v>
      </c>
      <c r="F6" s="67">
        <v>2</v>
      </c>
      <c r="G6" s="67">
        <v>2</v>
      </c>
      <c r="H6" s="1"/>
    </row>
    <row r="7" spans="4:8">
      <c r="D7" s="61" t="s">
        <v>70</v>
      </c>
      <c r="E7" s="66">
        <v>2</v>
      </c>
      <c r="F7" s="67">
        <v>1</v>
      </c>
      <c r="G7" s="67">
        <v>1</v>
      </c>
      <c r="H7" s="1"/>
    </row>
    <row r="8" spans="4:8">
      <c r="D8" s="61" t="s">
        <v>26</v>
      </c>
      <c r="E8" s="66">
        <v>3</v>
      </c>
      <c r="F8" s="67">
        <v>4</v>
      </c>
      <c r="G8" s="67">
        <v>4</v>
      </c>
      <c r="H8" s="1"/>
    </row>
    <row r="9" spans="4:8">
      <c r="D9" s="61" t="s">
        <v>27</v>
      </c>
      <c r="E9" s="66">
        <v>4</v>
      </c>
      <c r="F9" s="67">
        <v>3</v>
      </c>
      <c r="G9" s="67">
        <v>6</v>
      </c>
      <c r="H9" s="1"/>
    </row>
    <row r="10" spans="4:8">
      <c r="D10" s="61" t="s">
        <v>23</v>
      </c>
      <c r="E10" s="66">
        <v>5</v>
      </c>
      <c r="F10" s="67">
        <v>5</v>
      </c>
      <c r="G10" s="67">
        <v>3</v>
      </c>
      <c r="H10" s="1"/>
    </row>
    <row r="11" spans="4:8">
      <c r="D11" s="61" t="s">
        <v>24</v>
      </c>
      <c r="E11" s="66">
        <v>6</v>
      </c>
      <c r="F11" s="67">
        <v>6</v>
      </c>
      <c r="G11" s="67">
        <v>5</v>
      </c>
      <c r="H11" s="1"/>
    </row>
  </sheetData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Pesos SAATY</vt:lpstr>
      <vt:lpstr>AHP</vt:lpstr>
      <vt:lpstr>Promethee</vt:lpstr>
      <vt:lpstr>TOPSIS</vt:lpstr>
      <vt:lpstr>GLOBAL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2015-07-05T19:31:28Z</dcterms:created>
  <dcterms:modified xsi:type="dcterms:W3CDTF">2015-11-28T02:46:26Z</dcterms:modified>
</cp:coreProperties>
</file>